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externalLink+xml" PartName="/xl/externalLinks/externalLink3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4"/>
    <sheet state="visible" name="GA55 Check &amp; Edit" sheetId="2" r:id="rId5"/>
    <sheet state="visible" name="Copy of GA55 Check &amp; Edit" sheetId="3" r:id="rId6"/>
    <sheet state="visible" name="Sheet1" sheetId="4" r:id="rId7"/>
    <sheet state="visible" name="Master Data" sheetId="5" r:id="rId8"/>
    <sheet state="visible" name="Extra Ded. " sheetId="6" r:id="rId9"/>
    <sheet state="visible" name="HRA Calculation" sheetId="7" r:id="rId10"/>
    <sheet state="visible" name="GA55 Only Print" sheetId="8" r:id="rId11"/>
    <sheet state="visible" name="COMPUTATION" sheetId="9" r:id="rId12"/>
    <sheet state="visible" name="89 (1) Form" sheetId="10" r:id="rId13"/>
    <sheet state="visible" name="form10E" sheetId="11" r:id="rId14"/>
    <sheet state="visible" name="Form No. 16" sheetId="12" r:id="rId15"/>
  </sheets>
  <externalReferences>
    <externalReference r:id="rId16"/>
    <externalReference r:id="rId17"/>
    <externalReference r:id="rId18"/>
  </externalReferences>
  <definedNames>
    <definedName name="cities">'[1]hra-calculator'!$P$5:$P$9</definedName>
    <definedName localSheetId="2" name="ram">'Copy of GA55 Check &amp; Edit'!$AX$12:$BJ$32</definedName>
    <definedName localSheetId="2" name="und">'Copy of GA55 Check &amp; Edit'!$AQ$5:$AQ$6</definedName>
    <definedName name="Month1">'GA55 Check &amp; Edit'!$AS$8:$AS$19</definedName>
    <definedName name="gp">'GA55 Check &amp; Edit'!$AN$5:$AN$6</definedName>
    <definedName localSheetId="2" name="gp">'Copy of GA55 Check &amp; Edit'!$AN$5:$AN$6</definedName>
    <definedName localSheetId="2" name="pay_level">'Copy of GA55 Check &amp; Edit'!$AU$8:$AU$31</definedName>
    <definedName name="CCA">'GA55 Check &amp; Edit'!$AR$8:$AR$12</definedName>
    <definedName name="level">'GA55 Check &amp; Edit'!$AU$8:$AU$28</definedName>
    <definedName localSheetId="2" name="Month">'Copy of GA55 Check &amp; Edit'!$AT$8:$AT$19</definedName>
    <definedName localSheetId="2" name="level">'Copy of GA55 Check &amp; Edit'!$AU$8:$AU$28</definedName>
    <definedName localSheetId="2" name="ye">'Copy of GA55 Check &amp; Edit'!$AO$5:$AO$6</definedName>
    <definedName name="Month">'GA55 Check &amp; Edit'!$AT$8:$AT$19</definedName>
    <definedName name="pay">'GA55 Check &amp; Edit'!$AP$5:$AP$6</definedName>
    <definedName name="ram">'GA55 Check &amp; Edit'!$AX$12:$BJ$32</definedName>
    <definedName name="ye">'GA55 Check &amp; Edit'!$AO$5:$AO$6</definedName>
    <definedName name="und">'GA55 Check &amp; Edit'!$AQ$5:$AQ$6</definedName>
    <definedName name="pay_level">'GA55 Check &amp; Edit'!$AU$8:$AU$31</definedName>
    <definedName localSheetId="2" name="pay">'Copy of GA55 Check &amp; Edit'!$AP$5:$AP$6</definedName>
    <definedName localSheetId="2" name="CCA">'Copy of GA55 Check &amp; Edit'!$AR$8:$AR$12</definedName>
    <definedName localSheetId="2" name="Month1">'Copy of GA55 Check &amp; Edit'!$AS$8:$AS$19</definedName>
  </definedNames>
  <calcPr/>
  <extLst>
    <ext uri="GoogleSheetsCustomDataVersion2">
      <go:sheetsCustomData xmlns:go="http://customooxmlschemas.google.com/" r:id="rId19" roundtripDataChecksum="9aqVZk6fZwq11iEfEn1+xKPw2k8gSn7Hpk4E0nuiAdU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9">
      <text>
        <t xml:space="preserve">47900
======</t>
      </text>
    </comment>
    <comment authorId="0" ref="E12">
      <text>
        <t xml:space="preserve">104900
======</t>
      </text>
    </comment>
    <comment authorId="0" ref="E13">
      <text>
        <t xml:space="preserve">104900
======</t>
      </text>
    </comment>
    <comment authorId="0" ref="E14">
      <text>
        <t xml:space="preserve">104900
======</t>
      </text>
    </comment>
    <comment authorId="0" ref="E15">
      <text>
        <t xml:space="preserve">104900
======</t>
      </text>
    </comment>
  </commentList>
</comments>
</file>

<file path=xl/sharedStrings.xml><?xml version="1.0" encoding="utf-8"?>
<sst xmlns="http://schemas.openxmlformats.org/spreadsheetml/2006/main" count="924" uniqueCount="658">
  <si>
    <t>Instructions</t>
  </si>
  <si>
    <t>;g ,Dly izksxzke esjs ije~ iwT; xq:nso Jh Jh 1008 oklqnso th egkjkt o esjs bZ"V izHkq t;  ctjaxcyh o ikcwth egkjkt dks lefiZr gSaA esjs ekrk &amp; firk o xq:tuksa ds vk'khokZn ls ;g izksxzke f'k{kd cU/kqvksa ds lkFk lHkh foHkkx ds dkfeZdksa dh lsok esa lknj izLrqr gSaA</t>
  </si>
  <si>
    <t>How to use this Programme</t>
  </si>
  <si>
    <r>
      <rPr>
        <rFont val="Calibri"/>
        <b/>
        <i/>
        <color rgb="FF000000"/>
        <sz val="13.0"/>
      </rPr>
      <t xml:space="preserve">If you have Hindi font problem, then first you should install </t>
    </r>
    <r>
      <rPr>
        <rFont val="Calibri"/>
        <b/>
        <i/>
        <color rgb="FFFF0000"/>
        <sz val="13.0"/>
      </rPr>
      <t>Google input Unicode font</t>
    </r>
    <r>
      <rPr>
        <rFont val="Calibri"/>
        <b/>
        <i/>
        <color rgb="FF000000"/>
        <sz val="13.0"/>
      </rPr>
      <t xml:space="preserve"> /</t>
    </r>
    <r>
      <rPr>
        <rFont val="Calibri"/>
        <b/>
        <i/>
        <color rgb="FFFF0000"/>
        <sz val="13.0"/>
      </rPr>
      <t xml:space="preserve"> Krutidev 010 </t>
    </r>
    <r>
      <rPr>
        <rFont val="Calibri"/>
        <b/>
        <i/>
        <color rgb="FF000000"/>
        <sz val="13.0"/>
      </rPr>
      <t xml:space="preserve"> in your computer.</t>
    </r>
  </si>
  <si>
    <r>
      <rPr>
        <rFont val="Kruti Dev 010"/>
        <b/>
        <color rgb="FF000000"/>
        <sz val="14.0"/>
      </rPr>
      <t xml:space="preserve">lcls igys vki jktLFkku ds lHkh 'kSf{kd osclkbZV ij ,Dly xq: ghjkyky tkV }kjk fufeZr vk;dj x.kuk ,Dly ,Iyhds'ku 2025&amp;26 ds viMsV otZu+ dks MkmuyksM djsasaA blds vykok vki </t>
    </r>
    <r>
      <rPr>
        <rFont val="Calibri"/>
        <b/>
        <color rgb="FF000000"/>
        <sz val="14.0"/>
      </rPr>
      <t>Google</t>
    </r>
    <r>
      <rPr>
        <rFont val="Kruti Dev 010"/>
        <b/>
        <color rgb="FF000000"/>
        <sz val="14.0"/>
      </rPr>
      <t xml:space="preserve"> ij </t>
    </r>
    <r>
      <rPr>
        <rFont val="Calibri"/>
        <b/>
        <color rgb="FF000000"/>
        <sz val="14.0"/>
      </rPr>
      <t>Heeralal Jat</t>
    </r>
    <r>
      <rPr>
        <rFont val="Kruti Dev 010"/>
        <b/>
        <color rgb="FF000000"/>
        <sz val="14.0"/>
      </rPr>
      <t xml:space="preserve"> fy[kdj lpZ djsaxs rks Hkh vkidks ist fey tk;sxkA tgka ls vki ;g izksxzke MkmuyksM dj ldrs gSaA mlds ckn ftrusa dkfeZdksa dh vk;dj x.kuk djuh gS] mruh gh ,Dly izksxzke 'khV dks muds uke ls vyx vyx Qkby esa </t>
    </r>
    <r>
      <rPr>
        <rFont val="Calibri"/>
        <b/>
        <color rgb="FF000000"/>
        <sz val="14.0"/>
      </rPr>
      <t xml:space="preserve"> </t>
    </r>
    <r>
      <rPr>
        <rFont val="Calibri"/>
        <b/>
        <color rgb="FF000000"/>
        <sz val="12.0"/>
      </rPr>
      <t xml:space="preserve">Save  </t>
    </r>
    <r>
      <rPr>
        <rFont val="Kruti Dev 010"/>
        <b/>
        <color rgb="FF000000"/>
        <sz val="14.0"/>
      </rPr>
      <t xml:space="preserve">dj ysosaA izR;sad dkfeZd ds fy, ds fy, ,d QkbZy dks mi;ksx esa ysosaA </t>
    </r>
  </si>
  <si>
    <t xml:space="preserve">ije~ iwT; xq:nso oklqnso th egkjkt </t>
  </si>
  <si>
    <r>
      <rPr>
        <rFont val="Kruti Dev 010"/>
        <color rgb="FF000000"/>
        <sz val="14.0"/>
      </rPr>
      <t xml:space="preserve">vki bl ,Dly izksxzke ij dk;Z djus ls igys bUde VSDl foHkkx ds u;s :Yl o fu;e bUde VSDl foHkkx dh </t>
    </r>
    <r>
      <rPr>
        <rFont val="Calibri"/>
        <color rgb="FF000000"/>
        <sz val="14.0"/>
      </rPr>
      <t>New</t>
    </r>
    <r>
      <rPr>
        <rFont val="Kruti Dev 010"/>
        <color rgb="FF000000"/>
        <sz val="14.0"/>
      </rPr>
      <t xml:space="preserve"> </t>
    </r>
    <r>
      <rPr>
        <rFont val="Calibri"/>
        <color rgb="FF000000"/>
        <sz val="14.0"/>
      </rPr>
      <t xml:space="preserve">website </t>
    </r>
    <r>
      <rPr>
        <rFont val="Kruti Dev 010"/>
        <color rgb="FF000000"/>
        <sz val="14.0"/>
      </rPr>
      <t xml:space="preserve">vFkok ys[kk foK vDVqcj 2024 dkss t:j i&lt;+sA oSls bl ,Dly izksxzke esa iq.kZ lko/kkuh cjrh xbZ gSa] </t>
    </r>
    <r>
      <rPr>
        <rFont val="Kruti Dev 010"/>
        <b/>
        <color rgb="FF000000"/>
        <sz val="14.0"/>
      </rPr>
      <t>fQj Hkh foHkkx ds fu;e gh loksZijh o fljks/kk;Z gSaA</t>
    </r>
  </si>
  <si>
    <t>t; xq:nso</t>
  </si>
  <si>
    <t>Most Doable Work</t>
  </si>
  <si>
    <r>
      <rPr>
        <rFont val="Kruti Dev 010"/>
        <color rgb="FF000000"/>
        <sz val="14.0"/>
      </rPr>
      <t xml:space="preserve">vki bl ,Dly izksxzke esa nksa 'khVksa ekLVj MkVk 'khV o ,DLV~zk fMMsD'ku 'khV dks lko/kkuhiwoZd vuykWd lsy tks lQsn dyj esa gSa] dks Hkjuk ¼MkVk fQfyax½ gSaA vkxs dh 'khVs vkWVksa tujsV gSaA os lHkh ykWd gSaA ogk ij vkidks dqN ugh djuk gSaA flQZ </t>
    </r>
    <r>
      <rPr>
        <rFont val="Calibri"/>
        <color rgb="FF000000"/>
        <sz val="14.0"/>
      </rPr>
      <t>A4</t>
    </r>
    <r>
      <rPr>
        <rFont val="Kruti Dev 010"/>
        <color rgb="FF000000"/>
        <sz val="14.0"/>
      </rPr>
      <t xml:space="preserve"> lkbZt esa fizUV fudkyuk gSa vkSj ist Hkh lsV fd;k gqvk gSaA</t>
    </r>
  </si>
  <si>
    <t>NOTE :-</t>
  </si>
  <si>
    <t>New Update
 you tube video link For your Help</t>
  </si>
  <si>
    <t>;g ,Dly izksaxzke lHkh dkfeZdksa ds fy, leku :i ls rS;kj fd;k x;k gSA ladyu ,oa x.kuk esa iw.kZ lko/kkuh j[kh xbZ gSA fQj Hkh =qfV ;k fdlh Hkh izdkj dh fofHkUurk dh fLFkfr esa vk;dj foHkkx ds fu;e gh ekU; gSA rS;kjdrkZ dk dksbZ mÙkjnkf;Ro ugha gksxkA</t>
  </si>
  <si>
    <t>https://youtu.be/Y77okwT3eaw</t>
  </si>
  <si>
    <t xml:space="preserve">This Programme Developed by:        HEERALAL JAT </t>
  </si>
  <si>
    <t>Senior Teacher</t>
  </si>
  <si>
    <t>Mahatma Gandhi Government School (English Medium) BAR , Beawar</t>
  </si>
  <si>
    <t>heeralaljatchandawal@gmail.com</t>
  </si>
  <si>
    <t>V./P. - Chandawal Nagar, Teh.- sojat city, Dist.- Pali (Raj) 306306</t>
  </si>
  <si>
    <t>New Updates Sheet on</t>
  </si>
  <si>
    <t>Watch the You Tube Video For More Information.</t>
  </si>
  <si>
    <t>https://www.youtube.com/playlist?list=PLmNJTudmvkgL-ZI7qFKfQ6oz6WTNnW31z</t>
  </si>
  <si>
    <t>You Tube Channel</t>
  </si>
  <si>
    <t>https://www.youtube.com/c/Heeralaljat</t>
  </si>
  <si>
    <r>
      <rPr>
        <rFont val="Calibri"/>
        <color rgb="FF002060"/>
        <sz val="14.0"/>
      </rPr>
      <t xml:space="preserve">GA 55 Check &amp; Edit sheet पर कार्य करने में मदद हेतु नीचे Youtube Video का लिंक दिया गया है।  </t>
    </r>
    <r>
      <rPr>
        <rFont val="Wingdings"/>
        <b/>
        <color rgb="FFCC00FF"/>
        <sz val="20.0"/>
      </rPr>
      <t>H</t>
    </r>
  </si>
  <si>
    <t>Gazetted</t>
  </si>
  <si>
    <t>Employee Name :-</t>
  </si>
  <si>
    <t>https://www.youtube.com/watch?v=y7-DiFIbdG0</t>
  </si>
  <si>
    <t>GPF</t>
  </si>
  <si>
    <t>Yes</t>
  </si>
  <si>
    <t>Regular Pay</t>
  </si>
  <si>
    <t>Under 60</t>
  </si>
  <si>
    <t>S.N.</t>
  </si>
  <si>
    <t>Month</t>
  </si>
  <si>
    <t>Basic with Grade Pay</t>
  </si>
  <si>
    <t>DA</t>
  </si>
  <si>
    <t>HRA</t>
  </si>
  <si>
    <t>Handi. All.</t>
  </si>
  <si>
    <t>CCA</t>
  </si>
  <si>
    <t>Bonus</t>
  </si>
  <si>
    <t>TOTAL</t>
  </si>
  <si>
    <t>HITKARI NIDHI</t>
  </si>
  <si>
    <t xml:space="preserve">Other </t>
  </si>
  <si>
    <t>Income Tax</t>
  </si>
  <si>
    <t>G.I. + S. Tax</t>
  </si>
  <si>
    <t>Total Ded.</t>
  </si>
  <si>
    <t>NET PAY</t>
  </si>
  <si>
    <t>TV.NO.</t>
  </si>
  <si>
    <t>Enc.  DATE</t>
  </si>
  <si>
    <t>GPF-2004</t>
  </si>
  <si>
    <t>No</t>
  </si>
  <si>
    <t>Fix Pay</t>
  </si>
  <si>
    <t>Above 60</t>
  </si>
  <si>
    <t>Above 80</t>
  </si>
  <si>
    <t>Jaipur (U.A.)</t>
  </si>
  <si>
    <t>JAN</t>
  </si>
  <si>
    <t>L-1</t>
  </si>
  <si>
    <t>Ajmer</t>
  </si>
  <si>
    <t>FEB</t>
  </si>
  <si>
    <t>L-2</t>
  </si>
  <si>
    <t>Bikaner</t>
  </si>
  <si>
    <t>MAR</t>
  </si>
  <si>
    <t>L-3</t>
  </si>
  <si>
    <t>Jodhpur</t>
  </si>
  <si>
    <t>APR</t>
  </si>
  <si>
    <t>L-4</t>
  </si>
  <si>
    <t>Kota</t>
  </si>
  <si>
    <t>MAY</t>
  </si>
  <si>
    <t>L-5</t>
  </si>
  <si>
    <t>JUN</t>
  </si>
  <si>
    <t>L-6</t>
  </si>
  <si>
    <t>JUL</t>
  </si>
  <si>
    <t>L-7</t>
  </si>
  <si>
    <t>AUG</t>
  </si>
  <si>
    <t>L-8</t>
  </si>
  <si>
    <t>SEP</t>
  </si>
  <si>
    <t>L-9</t>
  </si>
  <si>
    <t>OCT</t>
  </si>
  <si>
    <t>L-10</t>
  </si>
  <si>
    <t>NOV</t>
  </si>
  <si>
    <t>L-11</t>
  </si>
  <si>
    <t>DEC</t>
  </si>
  <si>
    <t>L-12</t>
  </si>
  <si>
    <t>L-13</t>
  </si>
  <si>
    <t>L-14</t>
  </si>
  <si>
    <t>L-15</t>
  </si>
  <si>
    <t>L-16</t>
  </si>
  <si>
    <t>L-17</t>
  </si>
  <si>
    <t>L-18</t>
  </si>
  <si>
    <t>PL Surrender</t>
  </si>
  <si>
    <t>L-19</t>
  </si>
  <si>
    <t>DA Arrear 53 to 55%</t>
  </si>
  <si>
    <t>L-20</t>
  </si>
  <si>
    <t>DA Arrear 55% to 58%</t>
  </si>
  <si>
    <t>L-21</t>
  </si>
  <si>
    <t>ACP/MACP Arrear</t>
  </si>
  <si>
    <t>L-22</t>
  </si>
  <si>
    <t>PL Surrender Arrear</t>
  </si>
  <si>
    <t>L-23</t>
  </si>
  <si>
    <t>Fixation arrear</t>
  </si>
  <si>
    <t>L-24</t>
  </si>
  <si>
    <r>
      <rPr>
        <rFont val="Calibri"/>
        <color rgb="FF002060"/>
        <sz val="14.0"/>
      </rPr>
      <t xml:space="preserve">GA 55 Check &amp; Edit sheet पर कार्य करने में मदद हेतु नीचे Youtube Video का लिंक दिया गया है।  </t>
    </r>
    <r>
      <rPr>
        <rFont val="Wingdings"/>
        <b/>
        <color rgb="FFCC00FF"/>
        <sz val="20.0"/>
      </rPr>
      <t>H</t>
    </r>
  </si>
  <si>
    <t>suneeta devi</t>
  </si>
  <si>
    <t>March</t>
  </si>
  <si>
    <t xml:space="preserve">April </t>
  </si>
  <si>
    <t xml:space="preserve">May </t>
  </si>
  <si>
    <t>#ERROR!</t>
  </si>
  <si>
    <t>EMPLOYEE  PERSONAL  DETAIL</t>
  </si>
  <si>
    <r>
      <rPr>
        <rFont val="Calibri"/>
        <b/>
        <color rgb="FF000000"/>
        <sz val="16.0"/>
      </rPr>
      <t>Office Name</t>
    </r>
    <r>
      <rPr>
        <rFont val="Kruti Dev 010"/>
        <b/>
        <color rgb="FF000000"/>
        <sz val="16.0"/>
      </rPr>
      <t xml:space="preserve"> </t>
    </r>
    <r>
      <rPr>
        <rFont val="Calibri"/>
        <b/>
        <color rgb="FF000000"/>
        <sz val="16.0"/>
      </rPr>
      <t>:-</t>
    </r>
  </si>
  <si>
    <t xml:space="preserve">GSSS Dhalop </t>
  </si>
  <si>
    <r>
      <rPr>
        <rFont val="Calibri"/>
        <b/>
        <color rgb="FF000000"/>
        <sz val="16.0"/>
      </rPr>
      <t>Employee Name</t>
    </r>
    <r>
      <rPr>
        <rFont val="Kruti Dev 010"/>
        <b/>
        <color rgb="FF000000"/>
        <sz val="16.0"/>
      </rPr>
      <t xml:space="preserve"> </t>
    </r>
    <r>
      <rPr>
        <rFont val="Calibri"/>
        <b/>
        <color rgb="FF000000"/>
        <sz val="16.0"/>
      </rPr>
      <t>:-</t>
    </r>
  </si>
  <si>
    <t xml:space="preserve">MANJU Kumari </t>
  </si>
  <si>
    <t>Designation :-</t>
  </si>
  <si>
    <t xml:space="preserve">Teacher </t>
  </si>
  <si>
    <t>School Name :-</t>
  </si>
  <si>
    <t xml:space="preserve">GUPS Virampura Mataji </t>
  </si>
  <si>
    <t>DDO Name :-</t>
  </si>
  <si>
    <t xml:space="preserve">hukmaram </t>
  </si>
  <si>
    <t>Personal Employee ID RJPA201829057780</t>
  </si>
  <si>
    <t>UID AADHAR No. :-</t>
  </si>
  <si>
    <r>
      <rPr>
        <rFont val="Calibri"/>
        <color rgb="FF000000"/>
        <sz val="16.0"/>
      </rPr>
      <t>PAN No.</t>
    </r>
    <r>
      <rPr>
        <rFont val="Kruti Dev 010"/>
        <color rgb="FF000000"/>
        <sz val="16.0"/>
      </rPr>
      <t xml:space="preserve"> </t>
    </r>
    <r>
      <rPr>
        <rFont val="Calibri"/>
        <color rgb="FF000000"/>
        <sz val="16.0"/>
      </rPr>
      <t>:-</t>
    </r>
  </si>
  <si>
    <t xml:space="preserve">
HXLPK3160E</t>
  </si>
  <si>
    <t>TAN NO. :-</t>
  </si>
  <si>
    <t>GPF No. :-</t>
  </si>
  <si>
    <t>SI No. :-</t>
  </si>
  <si>
    <t>PRAN No. (GPF-2004) :-</t>
  </si>
  <si>
    <t>Bank A/C No. :-</t>
  </si>
  <si>
    <t>61222289518</t>
  </si>
  <si>
    <t xml:space="preserve"> Non-Gazetted</t>
  </si>
  <si>
    <t>Non-Gazetted</t>
  </si>
  <si>
    <t xml:space="preserve">PAY LEVEL (According Pay Metrix) :- </t>
  </si>
  <si>
    <t>ije~ iwT; xw:nso Jh Jh 1008 oklwnso th egkjkt</t>
  </si>
  <si>
    <t>EMPLOYEE  PAY  DETAIL</t>
  </si>
  <si>
    <t>क्या आपने समर्पित अवकाश वेतन लिया है ?</t>
  </si>
  <si>
    <t xml:space="preserve">यदि हाँ तो माह सलेक्ट करे  :- </t>
  </si>
  <si>
    <t>YES</t>
  </si>
  <si>
    <r>
      <rPr>
        <rFont val="Calibri"/>
        <b/>
        <color rgb="FF0000FF"/>
        <sz val="16.0"/>
      </rPr>
      <t xml:space="preserve">              BASIC On 01 March 2025</t>
    </r>
    <r>
      <rPr>
        <rFont val="Calibri"/>
        <b/>
        <color rgb="FF000000"/>
        <sz val="14.0"/>
      </rPr>
      <t xml:space="preserve">     </t>
    </r>
    <r>
      <rPr>
        <rFont val="Wingdings"/>
        <b/>
        <color rgb="FFFF0000"/>
        <sz val="18.0"/>
      </rPr>
      <t>F</t>
    </r>
  </si>
  <si>
    <t xml:space="preserve">आप किस आयु वर्ग श्रेणी में आते है ? </t>
  </si>
  <si>
    <t xml:space="preserve">क्या आपको बोनस मिला है :- </t>
  </si>
  <si>
    <t>NO</t>
  </si>
  <si>
    <r>
      <rPr>
        <rFont val="Kruti Dev 010"/>
        <b/>
        <color rgb="FF000000"/>
        <sz val="12.0"/>
      </rPr>
      <t>यदि आपको बोनस मिला है] तो जितने माह का बोनस मिला है उन माह की संख्या को सलेक्ट करे</t>
    </r>
    <r>
      <rPr>
        <rFont val="Kruti Dev 010"/>
        <b/>
        <color rgb="FF000000"/>
        <sz val="13.0"/>
      </rPr>
      <t xml:space="preserve">     </t>
    </r>
    <r>
      <rPr>
        <rFont val="Wingdings"/>
        <b/>
        <color rgb="FF400E3C"/>
        <sz val="14.0"/>
      </rPr>
      <t>F</t>
    </r>
  </si>
  <si>
    <t xml:space="preserve">यदि वितीय वर्ष  2025-26 में इन्क्रीमेंट के अलावा मूल वेतन में परिवर्तन हुआ है तो माह सलेक्ट करे : - </t>
  </si>
  <si>
    <t xml:space="preserve">विकलांग भत्ता  :- </t>
  </si>
  <si>
    <t xml:space="preserve">आपको अभी कोनसा वेतन मिल रहा है :- </t>
  </si>
  <si>
    <t xml:space="preserve"> यदि विकलांग भत्ता देय हो तो राशि लिखें  :- </t>
  </si>
  <si>
    <r>
      <rPr>
        <rFont val="Kruti Dev 010"/>
        <b/>
        <color rgb="FF000000"/>
        <sz val="16.0"/>
      </rPr>
      <t xml:space="preserve"> </t>
    </r>
    <r>
      <rPr>
        <rFont val="Calibri"/>
        <b/>
        <color rgb="FF000000"/>
        <sz val="16.0"/>
      </rPr>
      <t>GPF / GPF-2004 :-</t>
    </r>
    <r>
      <rPr>
        <rFont val="Kruti Dev 010"/>
        <b/>
        <color rgb="FF000000"/>
        <sz val="16.0"/>
      </rPr>
      <t xml:space="preserve">   </t>
    </r>
  </si>
  <si>
    <t>इन्क्रीमेंट के अलावा यदि मूल वेतन में कोई परिवर्तन हुआ तो परिवर्तित वेतन लिखें :-</t>
  </si>
  <si>
    <r>
      <rPr>
        <rFont val="Cambria"/>
        <b/>
        <color rgb="FF000000"/>
        <sz val="12.0"/>
      </rPr>
      <t xml:space="preserve">CCA </t>
    </r>
    <r>
      <rPr>
        <rFont val="Cambria"/>
        <b/>
        <color rgb="FF000000"/>
        <sz val="11.0"/>
      </rPr>
      <t>लागु हो तो</t>
    </r>
    <r>
      <rPr>
        <rFont val="Cambria"/>
        <b/>
        <color rgb="FF000000"/>
        <sz val="12.0"/>
      </rPr>
      <t xml:space="preserve">  select Yes / No   :-</t>
    </r>
  </si>
  <si>
    <t xml:space="preserve"> CCA लागू हो तो CITY सलेक्ट करे :-  </t>
  </si>
  <si>
    <t xml:space="preserve">    7th PAY  HRA प्रतिशत में सलेक्ट करे :- </t>
  </si>
  <si>
    <t>Group Insurance Rate @ :-</t>
  </si>
  <si>
    <t>You Tube Video Link</t>
  </si>
  <si>
    <t>आपको जिस अवधि का वेतन बनाना है , उस अवधि को सलेक्ट करे</t>
  </si>
  <si>
    <r>
      <rPr>
        <rFont val="Calibri"/>
        <b/>
        <i/>
        <color rgb="FFFF0000"/>
        <sz val="16.0"/>
        <u/>
      </rPr>
      <t>Tax Calculate From Month</t>
    </r>
    <r>
      <rPr>
        <rFont val="Calibri"/>
        <b/>
        <i/>
        <color rgb="FFFF0000"/>
        <sz val="16.0"/>
        <u/>
      </rPr>
      <t xml:space="preserve">  :-</t>
    </r>
    <r>
      <rPr>
        <rFont val="Calibri"/>
        <b/>
        <i/>
        <color rgb="FFFF0000"/>
        <sz val="16.0"/>
        <u/>
      </rPr>
      <t xml:space="preserve">
</t>
    </r>
  </si>
  <si>
    <t>Wash All.</t>
  </si>
  <si>
    <t>ROP</t>
  </si>
  <si>
    <t>other-1</t>
  </si>
  <si>
    <t>other-2</t>
  </si>
  <si>
    <t xml:space="preserve"> RGHS</t>
  </si>
  <si>
    <t>SI Loan</t>
  </si>
  <si>
    <t>GPF Loan</t>
  </si>
  <si>
    <t>SI Int.</t>
  </si>
  <si>
    <t>Other</t>
  </si>
  <si>
    <t xml:space="preserve">ROP की राशि माइनस में लिखे </t>
  </si>
  <si>
    <t>Income Tax Deduction By Salary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</si>
  <si>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</si>
  <si>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</si>
  <si>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</si>
  <si>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</si>
  <si>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</si>
  <si>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</si>
  <si>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</si>
  <si>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</si>
  <si>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</si>
  <si>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</si>
  <si>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</si>
  <si>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First Unlock Cell Entry Fill Up Then Click On Go to Next Sheet Button</t>
  </si>
  <si>
    <r>
      <rPr>
        <rFont val="Calibri"/>
        <b/>
        <i/>
        <color rgb="FFFFFFFF"/>
        <sz val="16.0"/>
      </rPr>
      <t xml:space="preserve">Use  Button For going to Next Sheet </t>
    </r>
    <r>
      <rPr>
        <rFont val="Wingdings"/>
        <b/>
        <i val="0"/>
        <color rgb="FFFFFF00"/>
        <sz val="18.0"/>
      </rPr>
      <t>H</t>
    </r>
  </si>
  <si>
    <t>https://www.youtube.com/watch?v=NWwIhkhEUoc</t>
  </si>
  <si>
    <t>https://youtu.be/uHA1arAjess</t>
  </si>
  <si>
    <r>
      <rPr>
        <rFont val="Calibri"/>
        <b/>
        <color rgb="FFCCC0D9"/>
        <sz val="11.0"/>
      </rPr>
      <t xml:space="preserve">अधिक जानकारी के लिए ऊपर </t>
    </r>
    <r>
      <rPr>
        <rFont val="Calibri"/>
        <b/>
        <color rgb="FFCCC0D9"/>
        <sz val="14.0"/>
      </rPr>
      <t xml:space="preserve">Youtube video </t>
    </r>
    <r>
      <rPr>
        <rFont val="Calibri"/>
        <b/>
        <color rgb="FFCCC0D9"/>
        <sz val="11.0"/>
      </rPr>
      <t xml:space="preserve">का लिंक दिया गया है। </t>
    </r>
  </si>
  <si>
    <t>वेतन कटौती से अतिरिक्त कटौतिया जिसके तहत आप आयकर में छूट लेना चाहते है, तथा अतिरिक्त (अन्य) आय को यहाँ इन्द्राज करेंI</t>
  </si>
  <si>
    <t>1. मकान किराया भत्ता (यदि रसीद के माध्यम से छूट लेनी हो तो राशि लिखे )</t>
  </si>
  <si>
    <t xml:space="preserve">20.  इक्विटी लिंक सेविंग स्कीम </t>
  </si>
  <si>
    <t>2.  स्टैण्डर्ड डीडेक्सन (Standard Deduction)  75,000 (अधिकतम )</t>
  </si>
  <si>
    <t xml:space="preserve">21.  गृह किराया धारा 10 (13-A) के अंतर्गत व धारा  10(14) के अंतर्गत  अन्य भत्ते जो कर मुक्त है </t>
  </si>
  <si>
    <t xml:space="preserve">3. मनोरंजन भत्ता धारा  16  (ii) के अंतर्गत </t>
  </si>
  <si>
    <r>
      <rPr>
        <rFont val="Calibri"/>
        <b/>
        <color rgb="FF000000"/>
        <sz val="11.0"/>
      </rPr>
      <t>22. स्थगत वार्षिकी (</t>
    </r>
    <r>
      <rPr>
        <rFont val="Calibri"/>
        <b/>
        <color rgb="FF000000"/>
        <sz val="12.0"/>
      </rPr>
      <t>Defferred Annuty</t>
    </r>
    <r>
      <rPr>
        <rFont val="Calibri"/>
        <b/>
        <color rgb="FF000000"/>
        <sz val="11.0"/>
      </rPr>
      <t>)</t>
    </r>
  </si>
  <si>
    <t xml:space="preserve">4. व्यवसाय कर  धारा  16  (iii) के अंतर्गत  </t>
  </si>
  <si>
    <r>
      <rPr>
        <rFont val="Calibri"/>
        <b/>
        <color rgb="FF000000"/>
        <sz val="11.0"/>
      </rPr>
      <t>23. वेतन के अलावा जमा कराया गया आयकर  (</t>
    </r>
    <r>
      <rPr>
        <rFont val="Calibri"/>
        <b/>
        <color rgb="FF000000"/>
        <sz val="12.0"/>
      </rPr>
      <t>TDS</t>
    </r>
    <r>
      <rPr>
        <rFont val="Calibri"/>
        <b/>
        <color rgb="FF000000"/>
        <sz val="11.0"/>
      </rPr>
      <t>)</t>
    </r>
  </si>
  <si>
    <t xml:space="preserve">5. गृह सम्पति से प्राप्त किराया  - आय </t>
  </si>
  <si>
    <t>24.  अन्य व फिक्स डिपोजिट  (5 वर्ष हेतु )  (धारा 80 सी के अंतर्गत )</t>
  </si>
  <si>
    <t xml:space="preserve">6. गृहकर </t>
  </si>
  <si>
    <t>25.   पारिवारिक पेंशन की मानक कटोती धारा 57 के अन्तगर्त ( अधिकतम सीमा रू 25000 )</t>
  </si>
  <si>
    <t>7. गृह ऋण की मूल किस्त यहाँ लिखनी है, जो छूट लेनी हैI</t>
  </si>
  <si>
    <t xml:space="preserve">26.  इन सभी के अतिरिक्त अन्य सभी प्रकार की कटोती जो धारा 80 सी के अंतर्गत आती है  (Other) </t>
  </si>
  <si>
    <t>8. गृह ऋण की किस्त पर ब्याज जो छूट लेना है, यहाँ लिखें I</t>
  </si>
  <si>
    <t>27.    म्यूच्यूअल फण्ड और अन्य कोई राशि  (जो धारा 80 सी के अंतर्गत छुट प्राप्त हो)</t>
  </si>
  <si>
    <t>9. जीवन बीमा प्रीमियम  (जो वेतन से नहीं काटा गया है ) LIC</t>
  </si>
  <si>
    <t>28.   धारा 80CCD(1B) - नवीन पेंशन योजना में अतिरिक्त अंशदान  (अधिकतम रुपये 50,000)</t>
  </si>
  <si>
    <t>10. पी.एल.आई. (PLI)</t>
  </si>
  <si>
    <t xml:space="preserve">29.   धारा 80 D चिकित्सा बीमा प्रीमियम </t>
  </si>
  <si>
    <t>11. टियुशन फ़ीस (Tution Fees)</t>
  </si>
  <si>
    <t xml:space="preserve">30.   धारा 80DD विकलांग आश्रितों के चिकित्सा उपचार </t>
  </si>
  <si>
    <t>12.  यू एल आई पी / वार्षिक प्लान</t>
  </si>
  <si>
    <t>31.  धारा  80DDB विशिष्ट रोगों के उपचार हेतु छुट</t>
  </si>
  <si>
    <t>13.  राष्ट्रीय बचत पत्र (NSC)</t>
  </si>
  <si>
    <t xml:space="preserve">32.   धारा  80E उच्च शिक्षा हेतु लिए गए ऋण का ब्याज </t>
  </si>
  <si>
    <t xml:space="preserve">14.  राष्ट्रीय बचत पत्र पर अदत ब्याज </t>
  </si>
  <si>
    <t>33.  धारा 80G धर्मार्थ संस्थाओ आदि को दिए दान ( क श्रेणी में  100 प्रतिशत एव ख श्रेणी में 50 प्रतिशत)</t>
  </si>
  <si>
    <t>15.  लोक भविष्य निधि (PPF)</t>
  </si>
  <si>
    <t xml:space="preserve"> "क" श्रेणी में दान :-  </t>
  </si>
  <si>
    <t xml:space="preserve">"ख" श्रेणी में दान :-   </t>
  </si>
  <si>
    <t xml:space="preserve">16.  राष्ट्रीय बचत पत्र स्कीम (NSS) </t>
  </si>
  <si>
    <t xml:space="preserve">34.   धारा 80U स्थाई रूप से शारीरिक असमर्थता की दशा में </t>
  </si>
  <si>
    <t>17.  सुकन्या समृद्धि योजना में जमा राशि  (SSY)</t>
  </si>
  <si>
    <t xml:space="preserve">35.   धारा 80 TTA बचत खाते पर अधिकतम ब्याज पर 10,000 तक छुट  194(IA) </t>
  </si>
  <si>
    <t xml:space="preserve">18.   Bonds से ब्याज </t>
  </si>
  <si>
    <t xml:space="preserve">36.   धारा 80 GGA अनुमोदित वैज्ञानिक, सामाजिक, ग्रामीण विकास आदि हेतु दिया गया दान </t>
  </si>
  <si>
    <t>19.   अन्य स्रोत से आय (शेयर मार्केट सहित सभी आय) :</t>
  </si>
  <si>
    <r>
      <rPr>
        <rFont val="Calibri"/>
        <b/>
        <color rgb="FF0000FF"/>
        <sz val="11.0"/>
      </rPr>
      <t xml:space="preserve">37. राहत धारा  </t>
    </r>
    <r>
      <rPr>
        <rFont val="Calibri"/>
        <b/>
        <color rgb="FF0000FF"/>
        <sz val="12.0"/>
      </rPr>
      <t>89</t>
    </r>
    <r>
      <rPr>
        <rFont val="Calibri"/>
        <b/>
        <color rgb="FF0000FF"/>
        <sz val="11.0"/>
      </rPr>
      <t xml:space="preserve"> के तहत  (अगर छुट लेनी है तो राशि लिखे )</t>
    </r>
  </si>
  <si>
    <t>US 80EEA  &amp; Others</t>
  </si>
  <si>
    <t>38.  एफडी आदि अन्य जमा पर प्राप्त कुल ब्याज (पीपीएफ को छोड़कर)</t>
  </si>
  <si>
    <t xml:space="preserve"> HRA Rasid Calculator</t>
  </si>
  <si>
    <t>MONTHS</t>
  </si>
  <si>
    <t>"Y"</t>
  </si>
  <si>
    <t>Basic Pay + DA.</t>
  </si>
  <si>
    <r>
      <rPr>
        <rFont val="Wingdings"/>
        <b/>
        <i/>
        <color rgb="FFFF0000"/>
        <sz val="18.0"/>
      </rPr>
      <t xml:space="preserve"> E</t>
    </r>
    <r>
      <rPr>
        <rFont val="Times New Roman"/>
        <b/>
        <i/>
        <color rgb="FFFF0000"/>
        <sz val="18.0"/>
      </rPr>
      <t xml:space="preserve"> </t>
    </r>
    <r>
      <rPr>
        <rFont val="Times New Roman"/>
        <b/>
        <i/>
        <color rgb="FF008000"/>
        <sz val="18.0"/>
      </rPr>
      <t xml:space="preserve">  </t>
    </r>
    <r>
      <rPr>
        <rFont val="Calibri"/>
        <b/>
        <i/>
        <color rgb="FF008000"/>
        <sz val="18.0"/>
      </rPr>
      <t>Please select months by typing</t>
    </r>
    <r>
      <rPr>
        <rFont val="Times New Roman"/>
        <b/>
        <i/>
        <color rgb="FF008000"/>
        <sz val="18.0"/>
      </rPr>
      <t xml:space="preserve"> "Y" </t>
    </r>
  </si>
  <si>
    <t>MARCH 20</t>
  </si>
  <si>
    <t>Y</t>
  </si>
  <si>
    <t>APRIL 20</t>
  </si>
  <si>
    <t xml:space="preserve">After selecting months, Fill rent paid amount in white colour cell. </t>
  </si>
  <si>
    <t>MAY  20</t>
  </si>
  <si>
    <t>JUNE 20</t>
  </si>
  <si>
    <t>JULY 20</t>
  </si>
  <si>
    <r>
      <rPr>
        <rFont val="Calibri"/>
        <b/>
        <color rgb="FF400E3C"/>
        <sz val="14.0"/>
      </rPr>
      <t xml:space="preserve">RENT PAID AMOUNT MONTHLY  </t>
    </r>
    <r>
      <rPr>
        <rFont val="Calibri"/>
        <b/>
        <color rgb="FF400E3C"/>
        <sz val="20.0"/>
      </rPr>
      <t xml:space="preserve"> </t>
    </r>
    <r>
      <rPr>
        <rFont val="Wingdings"/>
        <b/>
        <color rgb="FF400E3C"/>
        <sz val="20.0"/>
      </rPr>
      <t>F</t>
    </r>
  </si>
  <si>
    <t>AUGUST 20</t>
  </si>
  <si>
    <r>
      <rPr>
        <rFont val="Calibri"/>
        <b/>
        <color rgb="FFCC0099"/>
        <sz val="14.0"/>
      </rPr>
      <t xml:space="preserve">HRA EXEMPTION AMOUNT   </t>
    </r>
    <r>
      <rPr>
        <rFont val="Calibri"/>
        <b/>
        <color rgb="FFCC0099"/>
        <sz val="18.0"/>
      </rPr>
      <t xml:space="preserve">  </t>
    </r>
    <r>
      <rPr>
        <rFont val="Wingdings"/>
        <b/>
        <color rgb="FFCC0099"/>
        <sz val="18.0"/>
      </rPr>
      <t>F</t>
    </r>
  </si>
  <si>
    <t>SEPTEMBER 20</t>
  </si>
  <si>
    <t>OCTOBER 20</t>
  </si>
  <si>
    <t>NOVEMBER 20</t>
  </si>
  <si>
    <r>
      <rPr>
        <rFont val="Calibri"/>
        <b/>
        <color rgb="FF002060"/>
        <sz val="14.0"/>
      </rPr>
      <t xml:space="preserve">Max. HRA exemption amount </t>
    </r>
    <r>
      <rPr>
        <rFont val="Calibri"/>
        <b/>
        <color rgb="FF002060"/>
        <sz val="18.0"/>
      </rPr>
      <t xml:space="preserve"> </t>
    </r>
    <r>
      <rPr>
        <rFont val="Wingdings"/>
        <b/>
        <color rgb="FF002060"/>
        <sz val="18.0"/>
      </rPr>
      <t>F</t>
    </r>
  </si>
  <si>
    <t>DECEMBER 20</t>
  </si>
  <si>
    <r>
      <rPr>
        <rFont val="Calibri"/>
        <b/>
        <color rgb="FF002060"/>
        <sz val="14.0"/>
      </rPr>
      <t xml:space="preserve">Rent receipt required for max. exemption  </t>
    </r>
    <r>
      <rPr>
        <rFont val="Wingdings"/>
        <b/>
        <color rgb="FF002060"/>
        <sz val="18.0"/>
      </rPr>
      <t>F</t>
    </r>
  </si>
  <si>
    <t>JANUARY 21</t>
  </si>
  <si>
    <t>FEBRUARY 21</t>
  </si>
  <si>
    <r>
      <rPr>
        <rFont val="Calibri"/>
        <b/>
        <color rgb="FF002060"/>
        <sz val="14.0"/>
      </rPr>
      <t xml:space="preserve">House Rent Per Month        </t>
    </r>
    <r>
      <rPr>
        <rFont val="Wingdings"/>
        <b/>
        <color rgb="FF002060"/>
        <sz val="18.0"/>
      </rPr>
      <t>F</t>
    </r>
  </si>
  <si>
    <t>Select</t>
  </si>
  <si>
    <t>Bombay</t>
  </si>
  <si>
    <t>Salary other than monthly salary (DA,PL,Other)</t>
  </si>
  <si>
    <r>
      <rPr>
        <rFont val="Calibri"/>
        <b/>
        <color rgb="FF002060"/>
        <sz val="14.0"/>
      </rPr>
      <t xml:space="preserve">City of Living        </t>
    </r>
    <r>
      <rPr>
        <rFont val="Wingdings"/>
        <b/>
        <color rgb="FF002060"/>
        <sz val="18.0"/>
      </rPr>
      <t>F</t>
    </r>
  </si>
  <si>
    <t>Other Cities</t>
  </si>
  <si>
    <t>Calcutta</t>
  </si>
  <si>
    <t>Delhi</t>
  </si>
  <si>
    <t>Madras</t>
  </si>
  <si>
    <t>नोट :- यह छूट केवल आयकर की पूरानी स्लैब में ही देय है I</t>
  </si>
  <si>
    <t>Posting Place :-</t>
  </si>
  <si>
    <t>Pay Drawn</t>
  </si>
  <si>
    <t>PAN No. :-</t>
  </si>
  <si>
    <t>SI No.</t>
  </si>
  <si>
    <t>PRAN No. :-</t>
  </si>
  <si>
    <t>Bank A/C.</t>
  </si>
  <si>
    <t>Allowances</t>
  </si>
  <si>
    <t>Deductions</t>
  </si>
  <si>
    <r>
      <rPr>
        <rFont val="Calibri"/>
        <b/>
        <color rgb="FF000000"/>
        <sz val="10.0"/>
      </rPr>
      <t xml:space="preserve">TOTAL </t>
    </r>
    <r>
      <rPr>
        <rFont val="Wingdings"/>
        <b/>
        <color rgb="FF000000"/>
        <sz val="10.0"/>
      </rPr>
      <t>F</t>
    </r>
  </si>
  <si>
    <t>Signature of Employee</t>
  </si>
  <si>
    <t>Signature of DDO</t>
  </si>
  <si>
    <t>आयकर गणना  प्रपत्र वर्ष :-</t>
  </si>
  <si>
    <t>2025-2026</t>
  </si>
  <si>
    <t>(कर निर्धारण वर्ष -</t>
  </si>
  <si>
    <t>2026-2027)</t>
  </si>
  <si>
    <t>नाम कार्मिक :</t>
  </si>
  <si>
    <t>पद :</t>
  </si>
  <si>
    <t>PAN :</t>
  </si>
  <si>
    <t xml:space="preserve">आय : वर्ष  2025-26  में प्राप्त कुल आय ( कर योग्य सुविधाओं के मूल्यों सहित ) </t>
  </si>
  <si>
    <t>रु.</t>
  </si>
  <si>
    <t xml:space="preserve">आप पुरानी आयकर दर या नवीन आयकर दर दोनों में से किसी एक विकल्प को चुनकर आयकर गणना प्रपत्र तैयार कर सकते है।  </t>
  </si>
  <si>
    <t>गृह किराया, धारा 10(13-।) के अन्तर्गत एवं धारा 10(14)के अन्तगर्त अन्य भते जो कर मुक्त्त है</t>
  </si>
  <si>
    <t>E</t>
  </si>
  <si>
    <t xml:space="preserve">                                                              शेष (2-3)</t>
  </si>
  <si>
    <t xml:space="preserve"> (i)मनोरंजन भता धारा 16 (ii) के अन्तगर्त ( अधिकतम सीमा रू 5000 )</t>
  </si>
  <si>
    <t xml:space="preserve"> (ii) व्यवयाय कर धारा 16 (iii) के अन्तगर्त ( अधिकतम सीमा रू 2500 )</t>
  </si>
  <si>
    <t xml:space="preserve"> (Iii) पारिवारिक पेंशन की मानक कटोती धारा 57 के अन्तगर्त ( अधिकतम सीमा रू 25000 )</t>
  </si>
  <si>
    <r>
      <rPr>
        <rFont val="Calibri"/>
        <color rgb="FF000000"/>
        <sz val="10.0"/>
      </rPr>
      <t xml:space="preserve"> (iv) स्टेण्डर्ड डिडेक्शन (</t>
    </r>
    <r>
      <rPr>
        <rFont val="Calibri"/>
        <color rgb="FF000000"/>
        <sz val="11.0"/>
      </rPr>
      <t>Standard Deduction</t>
    </r>
    <r>
      <rPr>
        <rFont val="Calibri"/>
        <color rgb="FF000000"/>
        <sz val="10.0"/>
      </rPr>
      <t>)  75,000 (अधिकतम)</t>
    </r>
  </si>
  <si>
    <t xml:space="preserve">                                                           शेष (4-5)</t>
  </si>
  <si>
    <t>(अ) गृह सम्पति से आय : (1)  स्वंय के उपयोग में  :-   शून्य</t>
  </si>
  <si>
    <t>(2) प्राप्त किराया रु.</t>
  </si>
  <si>
    <t xml:space="preserve">(ब) घटायें </t>
  </si>
  <si>
    <t xml:space="preserve">  किराये का 30%</t>
  </si>
  <si>
    <t xml:space="preserve"> गृह ऋण पर ब्याज (80E)</t>
  </si>
  <si>
    <t xml:space="preserve"> गृहकर  </t>
  </si>
  <si>
    <t xml:space="preserve">  योग 7(ब) </t>
  </si>
  <si>
    <t xml:space="preserve"> शेष -/+ (7(अ) एवं योग 7(ब) का)   </t>
  </si>
  <si>
    <t>बचत खाते पर ब्याज :</t>
  </si>
  <si>
    <t>अन्य स्रोत से आय :</t>
  </si>
  <si>
    <t xml:space="preserve"> कुल शेष -/+  (6 एवं 7) </t>
  </si>
  <si>
    <t>एफडी आदि अन्य जमा राशि पर प्राप्त कुल ब्याज :</t>
  </si>
  <si>
    <t>Bonds से ब्याज :</t>
  </si>
  <si>
    <t>योग (8+9)</t>
  </si>
  <si>
    <t xml:space="preserve">सकल आय                                                                                   </t>
  </si>
  <si>
    <t>घटाइये कटौतियाँ:- धारा  US 80C, 80CCC,80CCD (1)</t>
  </si>
  <si>
    <t xml:space="preserve">(A) अधिकतम सीमा 1,50,000/- (धारा  80CCE ] (धारा 80CCD (2)) के अलावा </t>
  </si>
  <si>
    <t>(i)</t>
  </si>
  <si>
    <t>राज्य बीमा (SI)</t>
  </si>
  <si>
    <t>(xi)</t>
  </si>
  <si>
    <t>पेंशन योजना में योगदान  ECPF धारा  80ccd(1)</t>
  </si>
  <si>
    <t>(ii)</t>
  </si>
  <si>
    <t>L.I.C.</t>
  </si>
  <si>
    <t>(xii)</t>
  </si>
  <si>
    <t>पेंशन प्लान हेतु योगदान  (धारा 80ccc)</t>
  </si>
  <si>
    <t>https://www.youtube.com/watch?v=TJ5dWmZplAk</t>
  </si>
  <si>
    <t>(iii)</t>
  </si>
  <si>
    <t>राष्ट्रीय बचत पत्र (NSC)</t>
  </si>
  <si>
    <t>(xiii)</t>
  </si>
  <si>
    <t xml:space="preserve">राष्ट्रीय बचत पत्र पर अदत ब्याज </t>
  </si>
  <si>
    <t>(iv)</t>
  </si>
  <si>
    <t>लोक भविष्य निधि (PPF)</t>
  </si>
  <si>
    <t>(xiv)</t>
  </si>
  <si>
    <t>टियुशन फ़ीस</t>
  </si>
  <si>
    <t>(v)</t>
  </si>
  <si>
    <t>राष्ट्रीय बचत पत्र स्कीम (NSS)</t>
  </si>
  <si>
    <t>(xv)</t>
  </si>
  <si>
    <t xml:space="preserve">इक्विटी लिंक सेविंग स्कीम </t>
  </si>
  <si>
    <t>(vi)</t>
  </si>
  <si>
    <r>
      <rPr>
        <rFont val="Calibri"/>
        <color rgb="FF000000"/>
        <sz val="10.0"/>
      </rPr>
      <t xml:space="preserve">सामान्य प्रावधायी निधि  </t>
    </r>
    <r>
      <rPr>
        <rFont val="Calibri"/>
        <b/>
        <color rgb="FF000000"/>
        <sz val="10.0"/>
      </rPr>
      <t>GPF) / GPF - 2004</t>
    </r>
  </si>
  <si>
    <t>(xvi)</t>
  </si>
  <si>
    <t>स्थगत वार्षिकी (Defferred Annuty)</t>
  </si>
  <si>
    <r>
      <rPr>
        <rFont val="Wingdings"/>
        <b/>
        <color rgb="FFFF0000"/>
        <sz val="20.0"/>
      </rPr>
      <t>G</t>
    </r>
    <r>
      <rPr>
        <rFont val="Calibri"/>
        <b/>
        <color rgb="FFCC00FF"/>
        <sz val="12.0"/>
      </rPr>
      <t xml:space="preserve"> अधिक जानकारी के लिए देखें </t>
    </r>
    <r>
      <rPr>
        <rFont val="Calibri"/>
        <b/>
        <color rgb="FFCC00FF"/>
        <sz val="14.0"/>
      </rPr>
      <t xml:space="preserve">Youtube </t>
    </r>
    <r>
      <rPr>
        <rFont val="Calibri"/>
        <b/>
        <color rgb="FFCC00FF"/>
        <sz val="12.0"/>
      </rPr>
      <t>वीडियो</t>
    </r>
  </si>
  <si>
    <t>(vii)</t>
  </si>
  <si>
    <t>सामूहिक बीमा प्रीमियम  (G.Ins.)</t>
  </si>
  <si>
    <t>(xvii)</t>
  </si>
  <si>
    <t>पी.एल.आई . (PLI)</t>
  </si>
  <si>
    <t>(viii)</t>
  </si>
  <si>
    <t xml:space="preserve">यू एल आई पी / वार्षिक प्लान </t>
  </si>
  <si>
    <t>(xviii)</t>
  </si>
  <si>
    <t xml:space="preserve">म्यूच्यूअल फण्ड व अन्य राशि जो धारा 80 C के अंतर्गत छुट  </t>
  </si>
  <si>
    <t>(ix)</t>
  </si>
  <si>
    <t>गृह ऋण किस्त (HBA Premium)</t>
  </si>
  <si>
    <t>(xix)</t>
  </si>
  <si>
    <t>सुकन्या समृद्धि योजना में जमा राशि</t>
  </si>
  <si>
    <t>(x)</t>
  </si>
  <si>
    <t>जीवन बीमा  (Extra LIC)</t>
  </si>
  <si>
    <t>(xx)</t>
  </si>
  <si>
    <t>अन्य व फिक्स डिपोजिट  (5 वर्ष हेतु )</t>
  </si>
  <si>
    <t>(xxi)</t>
  </si>
  <si>
    <t>उपरोक्त के अलावा अन्य कटोती (Other Ded.)</t>
  </si>
  <si>
    <r>
      <rPr>
        <rFont val="Calibri"/>
        <b/>
        <color rgb="FF000000"/>
        <sz val="10.0"/>
      </rPr>
      <t>योग  (</t>
    </r>
    <r>
      <rPr>
        <rFont val="Calibri"/>
        <b/>
        <color rgb="FF000000"/>
        <sz val="11.0"/>
      </rPr>
      <t xml:space="preserve"> i</t>
    </r>
    <r>
      <rPr>
        <rFont val="Calibri"/>
        <b/>
        <color rgb="FF000000"/>
        <sz val="10.0"/>
      </rPr>
      <t xml:space="preserve"> से </t>
    </r>
    <r>
      <rPr>
        <rFont val="Calibri"/>
        <b/>
        <color rgb="FF000000"/>
        <sz val="11.0"/>
      </rPr>
      <t>xxi</t>
    </r>
    <r>
      <rPr>
        <rFont val="Calibri"/>
        <b/>
        <color rgb="FF000000"/>
        <sz val="10.0"/>
      </rPr>
      <t xml:space="preserve"> )</t>
    </r>
  </si>
  <si>
    <t xml:space="preserve">अधिकतम कटोती राशि 1.50 लाख तक :- </t>
  </si>
  <si>
    <t xml:space="preserve">(B) घटाइये धारा  80CCD(2) नियोक्ता द्वारा  पेंशन अंशदान की राशि  (अधिकतम वेतन का 14%)  पृथक से छुट </t>
  </si>
  <si>
    <t>(C) घटाइये - धारा  80CCD (1B) नवीन पेंशन योजना में अतिरिक्त अंशदान  (अधिकतम 50,000 रु. )</t>
  </si>
  <si>
    <t xml:space="preserve">योग 11(A+B+C)      </t>
  </si>
  <si>
    <t>अन्य कटोतियाँ</t>
  </si>
  <si>
    <t>1. धारा 80 D चिकित्सा बीमा प्रीमियम  (स्वयं पति पत्नि व बच्चों के लिए रु. 25,000 माता - पिता के लिए रु. 25,000 , सीनियर सिटीजन रु. 50,000 )</t>
  </si>
  <si>
    <t>2. धारा 80DD विकलांग आश्रितों के चिकित्सा उपचार (अधिकतम 75,000 तथा 80% या अधिक विकलांगता ( 1,25,000)</t>
  </si>
  <si>
    <t>3. धारा  80DDB विशिष्ट रोगों के उपचार हेतु छुट  (अधिकतम रु. 40,000, सीनियर सिटीजन हेतु रु. 1,00,000)</t>
  </si>
  <si>
    <t xml:space="preserve">4. धारा  80E उच्च शिक्षा हेतु लिए गए ऋण का ब्याज </t>
  </si>
  <si>
    <t>5. धारा 80G धर्मार्थ संस्थाओ आदि को दिए दान ( क श्रेणी में  100 प्रतिशत एव ख श्रेणी में 50 प्रतिशत)   (केंद्र एव राज्य सरकार के फण्ड में )</t>
  </si>
  <si>
    <t>6. धारा 80U स्थाई रूप से शारीरिक असमर्थता की दशा में  (अधिकतम  75,000 तथा अधिनियम 1995 के अनुसार 1,25,000)</t>
  </si>
  <si>
    <t>7. धारा 80 TTA बचत खाते पर अधिकतम ब्याज पर 10,000 194(IA) ,  एवं धारा 80 TTB ( वरिष्ठ नागरिकों के लिए ब्याज पर छुट 50000 तक )</t>
  </si>
  <si>
    <t xml:space="preserve">8. धारा 80 GGA अनुमोदित वैज्ञानिक, सामाजिक, ग्रामीण विकास आदि हेतु दिया गया दान </t>
  </si>
  <si>
    <t>9. US 80EEA (Home Loan Interest)  &amp; Others</t>
  </si>
  <si>
    <t>10. US 80EEB Deduction in respect of purchase of electric vehicle.</t>
  </si>
  <si>
    <t xml:space="preserve">कुल योग 12 ( 1 से 10 तक ) </t>
  </si>
  <si>
    <t>कुल कटौती (11+12)</t>
  </si>
  <si>
    <t>कर योग्य आय (10-13)</t>
  </si>
  <si>
    <t>कुल आय की राशि को सम्पूर्ण करना ( दस के गुणक में ) धारा 288A</t>
  </si>
  <si>
    <t xml:space="preserve"> आयकर की गणना  उपरोक्त कॉलम 15 के आधार पर </t>
  </si>
  <si>
    <t>old</t>
  </si>
  <si>
    <t>New</t>
  </si>
  <si>
    <t xml:space="preserve">पुरानी आयकर स्लैब </t>
  </si>
  <si>
    <t xml:space="preserve">नयी आयकर स्लैब </t>
  </si>
  <si>
    <t>Up to Rs. 2,50,000</t>
  </si>
  <si>
    <t>Up to Rs. 4,00,000</t>
  </si>
  <si>
    <t>2,50,001  to  5,00,000</t>
  </si>
  <si>
    <t>4,00,001  to  8,00,000</t>
  </si>
  <si>
    <t>5,00,001 to 10,00,000</t>
  </si>
  <si>
    <t>8,00,001  to  12,00,000</t>
  </si>
  <si>
    <t>Above  10,00,000</t>
  </si>
  <si>
    <t>12,00,001  to  16,00,000</t>
  </si>
  <si>
    <t xml:space="preserve">मार्जिनल रिलीफ बेनिफिट के लिए टैक्सेबल नेट अमाउंट को राउंड राशि में करने हेतु नीचे बॉक्स में क्लिक करें </t>
  </si>
  <si>
    <t>16,00,001  to  20,00,000</t>
  </si>
  <si>
    <t>20,00,001  to  24,00,000</t>
  </si>
  <si>
    <t>Above  24,00,000</t>
  </si>
  <si>
    <t xml:space="preserve">(1) योग आयकर </t>
  </si>
  <si>
    <t>(2) छुट धारा 87(A)  (पुरानी स्लैब में 5 लाख की कर योग्य आय पर छुट अधिकतम रु. 12,500/- तक तथा 87(B) नई आयकर स्लैब में 12 लाख तक की कर योग्य आय पर 60,000/- तक छुट )</t>
  </si>
  <si>
    <t>Marginal relief benefit under section 115BAC(1)</t>
  </si>
  <si>
    <t xml:space="preserve">(3) शेष आयकर (1-2) </t>
  </si>
  <si>
    <t xml:space="preserve">(4) शिक्षा उपकर 2% एवं उच्च शिक्षा के लिए अधिभार 2%  (कुल योग 4%)  </t>
  </si>
  <si>
    <t>round</t>
  </si>
  <si>
    <t>net</t>
  </si>
  <si>
    <t xml:space="preserve">                                                             कुल आयकर (3+4)</t>
  </si>
  <si>
    <t xml:space="preserve">घटाइये :- राहत धारा 89 के तहत </t>
  </si>
  <si>
    <t>कुल शेष आयकर</t>
  </si>
  <si>
    <t>आयकर कटौती
 का विवरण</t>
  </si>
  <si>
    <r>
      <rPr>
        <rFont val="Calibri"/>
        <b/>
        <color rgb="FF000000"/>
        <sz val="10.0"/>
      </rPr>
      <t xml:space="preserve">सितम्बर </t>
    </r>
    <r>
      <rPr>
        <rFont val="Calibri"/>
        <b/>
        <color rgb="FF000000"/>
        <sz val="11.0"/>
      </rPr>
      <t>2025</t>
    </r>
    <r>
      <rPr>
        <rFont val="Calibri"/>
        <b/>
        <color rgb="FF000000"/>
        <sz val="10.0"/>
      </rPr>
      <t xml:space="preserve">
तक कुल कटौती</t>
    </r>
  </si>
  <si>
    <t xml:space="preserve">अक्टूबर 2025 से दिसम्बर 2025 तक </t>
  </si>
  <si>
    <t>जनवरी 2026 माह में कटौती</t>
  </si>
  <si>
    <t>फरवरी 2026 माह में कटौती</t>
  </si>
  <si>
    <t xml:space="preserve">अन्य टी.डी.एस कटौती </t>
  </si>
  <si>
    <t>कुल योग कॉलम 19</t>
  </si>
  <si>
    <t xml:space="preserve">नोट :- नई कर व्यवस्था में मानक कटोती 75,000/- व नियोक्ता के अंशदान के अतिरिक्त अन्य कोई छूट देय नहीं है I </t>
  </si>
  <si>
    <t>हस्ताक्षर कार्मिक</t>
  </si>
  <si>
    <t>CALCULATION OF RELIEF UNDER SECTION 89 (1)</t>
  </si>
  <si>
    <t>Name :</t>
  </si>
  <si>
    <t>Address :</t>
  </si>
  <si>
    <t>Status</t>
  </si>
  <si>
    <t xml:space="preserve">Indian Resident </t>
  </si>
  <si>
    <t>FINANCIAL YEAR- 2013-14</t>
  </si>
  <si>
    <t>INCOME ( Rs )</t>
  </si>
  <si>
    <t>Enter net taxable income for 2013-14 (as per ITR/Form-16)</t>
  </si>
  <si>
    <t>Enter arrears relates to 2013-14</t>
  </si>
  <si>
    <t>FINANCIAL YEAR- 2014-15</t>
  </si>
  <si>
    <t>Enter net taxable income for 2014-15 (as per ITR/Form-16)</t>
  </si>
  <si>
    <t>Enter arrears relates to 2014-15)</t>
  </si>
  <si>
    <t>FINANCIAL YEAR- 2015-16</t>
  </si>
  <si>
    <t xml:space="preserve">Enter net taxable income for 2015-16 (as per ITR/Form-16) </t>
  </si>
  <si>
    <t xml:space="preserve">Enter arrears relates to 2015-16 </t>
  </si>
  <si>
    <t>FINANCIAL YEAR- 2016-17</t>
  </si>
  <si>
    <t>यह राशि धारा 89 (1) के तहत छुट मिलने वाली है I</t>
  </si>
  <si>
    <t xml:space="preserve">Enter net taxable income for 2016-17 (as per ITR/Form-16) </t>
  </si>
  <si>
    <t xml:space="preserve">Enter arrears relates to 2016-17 </t>
  </si>
  <si>
    <t>FINANCIAL YEAR- 2017-18</t>
  </si>
  <si>
    <t xml:space="preserve">Enter net taxable income for 2017-18 (as per ITR/Form-16) </t>
  </si>
  <si>
    <t>पिछले सालों की एंट्रीज़ मैनुअली टाइप करके सावधानी से लिखें I</t>
  </si>
  <si>
    <t xml:space="preserve">Enter arrears relates to 2017-18  </t>
  </si>
  <si>
    <t>FINANCIAL YEAR- 2018-19</t>
  </si>
  <si>
    <t xml:space="preserve">Enter net taxable income for 2018-19 (as per ITR/Form-16) </t>
  </si>
  <si>
    <t xml:space="preserve">Enter arrears relates to 2018-19 </t>
  </si>
  <si>
    <t>FINANCIAL YEAR- 2019-20</t>
  </si>
  <si>
    <t xml:space="preserve">Enter net taxable income for 2019-20 (as per ITR/Form-16) </t>
  </si>
  <si>
    <t xml:space="preserve">Enter arrears relates to 2019-20   </t>
  </si>
  <si>
    <t>FINANCIAL YEAR- 2020-21</t>
  </si>
  <si>
    <t xml:space="preserve">Enter net taxable income for 2020-21 (as per ITR/Form-16) </t>
  </si>
  <si>
    <t xml:space="preserve">Enter arrears relates to 2020-21    </t>
  </si>
  <si>
    <t>FINANCIAL YEAR- 2021-22</t>
  </si>
  <si>
    <t>Enter net taxable income for 2021-22 (as per ITR/Form-16)</t>
  </si>
  <si>
    <t xml:space="preserve">Enter arrears relates to 2021-22     </t>
  </si>
  <si>
    <t>FINANCIAL YEAR- 2022-23</t>
  </si>
  <si>
    <t xml:space="preserve">Enter net taxable income for 2022-23 (as per ITR/Form-16) </t>
  </si>
  <si>
    <t xml:space="preserve">Enter arrears relates to 2022-23    </t>
  </si>
  <si>
    <t>FINANCIAL YEAR- 2023-24</t>
  </si>
  <si>
    <t xml:space="preserve">Enter net taxable income for 2023-24 (as per ITR/Form-16) </t>
  </si>
  <si>
    <t xml:space="preserve">Enter arrears relates to 2023-24    </t>
  </si>
  <si>
    <t>FINANCIAL YEAR- 2024-25</t>
  </si>
  <si>
    <t xml:space="preserve">Enter net taxable income for 2024-25 (as per ITR/Form-16) </t>
  </si>
  <si>
    <t xml:space="preserve">Enter arrears relates to 2024-25    </t>
  </si>
  <si>
    <t>FINANCIAL YEAR- 2025-26</t>
  </si>
  <si>
    <r>
      <rPr>
        <rFont val="Calibri"/>
        <b/>
        <color rgb="FF000000"/>
        <sz val="12.0"/>
      </rPr>
      <t xml:space="preserve">Enter net taxable income for 2025-26 including entire arrears received (as per ITR/Form-16)   
</t>
    </r>
    <r>
      <rPr>
        <rFont val="Calibri"/>
        <b/>
        <color rgb="FF000000"/>
        <sz val="10.0"/>
      </rPr>
      <t xml:space="preserve">(शुद्ध कर योग्य आय दस के गुणांक में ) </t>
    </r>
  </si>
  <si>
    <r>
      <rPr>
        <rFont val="Calibri"/>
        <b/>
        <color rgb="FF000000"/>
        <sz val="12.0"/>
      </rPr>
      <t xml:space="preserve">FORM NO. 10 E </t>
    </r>
    <r>
      <rPr>
        <rFont val="Calibri"/>
        <b/>
        <i/>
        <color rgb="FF000000"/>
        <sz val="12.0"/>
      </rPr>
      <t>(See rule 21AA)</t>
    </r>
  </si>
  <si>
    <t>Form for furnishing particulars of income undr scetion 192(2A) for year ending 31st March 2023 for claiming relief under section 89(1) by a Government servant or an employee in a company, co-operative society, local authority, university, institution, association or body.</t>
  </si>
  <si>
    <t>Particulars of Income referred to in rule 21A of the Income tax Rules, 1962, during the previous year relevant to assessment year 2023-24</t>
  </si>
  <si>
    <t>1. (a) Salary received in arrears or in advance during 2022-23 in accordance with the provision of sub-rule (2) of rule 21A</t>
  </si>
  <si>
    <t>(b) Payment in the nature of gratuity in respect of past services, extending over a period of not less than 5 years in accordance with the provisions of sub-rule (3) of rule 21A</t>
  </si>
  <si>
    <t xml:space="preserve">Not applicable </t>
  </si>
  <si>
    <t>(c) Payment in the nature of compensation from the employer or former employer at or in connection with termination of employment after continuous service of not less than 3 years in accordance with the provisions of sub-rule (4) of rule 21A</t>
  </si>
  <si>
    <t>(d) Payment in commutation of pension in accordance with the provisions of sub-rule (5) of rule 21A</t>
  </si>
  <si>
    <t xml:space="preserve">2. Detailed particulars of payments referred to above may be given in Annexure I, II, IIA, III or IV as the case may be </t>
  </si>
  <si>
    <t>Annexure- I</t>
  </si>
  <si>
    <t xml:space="preserve">Verification </t>
  </si>
  <si>
    <t xml:space="preserve">I  </t>
  </si>
  <si>
    <t xml:space="preserve">do hereby declare that what is stated above is true to the best of my </t>
  </si>
  <si>
    <t>knowledge and belief.</t>
  </si>
  <si>
    <t>Verified today, the</t>
  </si>
  <si>
    <t xml:space="preserve">Place: </t>
  </si>
  <si>
    <t>Date:</t>
  </si>
  <si>
    <t>Signature of the employee</t>
  </si>
  <si>
    <t>ANNEXURE - I</t>
  </si>
  <si>
    <t>ARREARS OR ADVANCE SALARY</t>
  </si>
  <si>
    <t xml:space="preserve">1. Total net taxable Income excluding Salary received in Arrears or advance </t>
  </si>
  <si>
    <t>2. salary received in arrears or advance</t>
  </si>
  <si>
    <t>नोट :- यह छूट आयकर की पूरानी स्लैब में ही देय है I</t>
  </si>
  <si>
    <t>3. Total Income (as increased by salary received in arrears or advance) (Add item 1 and item 2)</t>
  </si>
  <si>
    <t>4. Tax on total income (as per item 3)</t>
  </si>
  <si>
    <t>5. Tax on total income (as per item 1)</t>
  </si>
  <si>
    <t>6. Tax on salary received in arrears or advance (Difference of item 4 and item 5)</t>
  </si>
  <si>
    <t>7. Tax computed in accordance with Table "A" (Brought from column 7 of Table "A")</t>
  </si>
  <si>
    <t>8. Relief under section 89 (1) (Indicate the difference between the amounts mentioned against items 6 and 7)</t>
  </si>
  <si>
    <t>TABLE "A"  (See item 7 of Annexure I)</t>
  </si>
  <si>
    <t>Previous Year(s)</t>
  </si>
  <si>
    <t xml:space="preserve">Total Net Taxable income of the relevant previous year </t>
  </si>
  <si>
    <t>salary received in arrears or advance relating to the relevant previous year as mentioned in col. (1)</t>
  </si>
  <si>
    <t>Total income (as increased by salry received in arrears or advance) or the relevant previous year mentioned in col. (1) (Add col. 2 and 3)</t>
  </si>
  <si>
    <t>Tax on total income (as per col. 2)</t>
  </si>
  <si>
    <t>Tax on total income (as per col. 4)</t>
  </si>
  <si>
    <t>Difference in tax (Amount under col. 6 minus amount under col. 5)</t>
  </si>
  <si>
    <t>Old Tax</t>
  </si>
  <si>
    <t>New tax</t>
  </si>
  <si>
    <t>2013-14</t>
  </si>
  <si>
    <t>2014-15</t>
  </si>
  <si>
    <t>13-14</t>
  </si>
  <si>
    <t>2015-16</t>
  </si>
  <si>
    <t>14-15</t>
  </si>
  <si>
    <t>2016-17</t>
  </si>
  <si>
    <t>15-16</t>
  </si>
  <si>
    <t>2017-18</t>
  </si>
  <si>
    <t>16-17</t>
  </si>
  <si>
    <t>2018-19</t>
  </si>
  <si>
    <t>17-18</t>
  </si>
  <si>
    <t>2019-20</t>
  </si>
  <si>
    <t>18-19</t>
  </si>
  <si>
    <t>2020-21</t>
  </si>
  <si>
    <t>19-20</t>
  </si>
  <si>
    <t>2021-22</t>
  </si>
  <si>
    <t>20-21</t>
  </si>
  <si>
    <t>2022-23</t>
  </si>
  <si>
    <t>21-22</t>
  </si>
  <si>
    <t>2023-24</t>
  </si>
  <si>
    <t>22-23</t>
  </si>
  <si>
    <t>2024-25</t>
  </si>
  <si>
    <t>23-24</t>
  </si>
  <si>
    <t>24-25</t>
  </si>
  <si>
    <t>FORM NO. 16</t>
  </si>
  <si>
    <t>[(See Rule 31(1)(a)]</t>
  </si>
  <si>
    <t>PART-A</t>
  </si>
  <si>
    <t>Certificate under section 203 of the income-tax act, 1961 for Tax deducted at source on Salary.</t>
  </si>
  <si>
    <t>Name and address of the Employer</t>
  </si>
  <si>
    <t>Name and adress of the Employee</t>
  </si>
  <si>
    <t>PAN of the Deductor</t>
  </si>
  <si>
    <t>TAN of  the Deductor</t>
  </si>
  <si>
    <t>PAN of the Employee</t>
  </si>
  <si>
    <t>Employee Ref No.</t>
  </si>
  <si>
    <t>CIT (TDS)</t>
  </si>
  <si>
    <t>Assess. Year</t>
  </si>
  <si>
    <t>Peroid with the Employer</t>
  </si>
  <si>
    <t>Adress</t>
  </si>
  <si>
    <t>The Commissioner of Income Tax, Pali</t>
  </si>
  <si>
    <t>2026-27</t>
  </si>
  <si>
    <t>From</t>
  </si>
  <si>
    <t>To</t>
  </si>
  <si>
    <t>City</t>
  </si>
  <si>
    <t>PALI</t>
  </si>
  <si>
    <t>PIN Code</t>
  </si>
  <si>
    <t>01-4-2025</t>
  </si>
  <si>
    <t>31-03-2026</t>
  </si>
  <si>
    <t>Summary of amount paid/credited and tax deducted at source thereon in respect of the employee</t>
  </si>
  <si>
    <t>Quarters</t>
  </si>
  <si>
    <t>Receipt Numbers of original quarterly statements of TDS under sub-secion (3) of section 200</t>
  </si>
  <si>
    <t>Amount paid/ credited</t>
  </si>
  <si>
    <t>Amount of tax deducted (Rs.)</t>
  </si>
  <si>
    <t>Amount of tax deposited/ remitted (Rs.)</t>
  </si>
  <si>
    <r>
      <rPr>
        <rFont val="Calibri"/>
        <color rgb="FF000000"/>
        <sz val="11.0"/>
      </rPr>
      <t>1</t>
    </r>
    <r>
      <rPr>
        <rFont val="Calibri"/>
        <color rgb="FF000000"/>
        <sz val="11.0"/>
        <vertAlign val="superscript"/>
      </rPr>
      <t xml:space="preserve">st </t>
    </r>
  </si>
  <si>
    <r>
      <rPr>
        <rFont val="Calibri"/>
        <color rgb="FF000000"/>
        <sz val="11.0"/>
      </rPr>
      <t>2</t>
    </r>
    <r>
      <rPr>
        <rFont val="Calibri"/>
        <color rgb="FF000000"/>
        <sz val="11.0"/>
        <vertAlign val="superscript"/>
      </rPr>
      <t>nd</t>
    </r>
    <r>
      <rPr>
        <rFont val="Calibri"/>
        <color rgb="FF000000"/>
        <sz val="11.0"/>
      </rPr>
      <t xml:space="preserve"> </t>
    </r>
  </si>
  <si>
    <r>
      <rPr>
        <rFont val="Calibri"/>
        <color rgb="FF000000"/>
        <sz val="12.0"/>
      </rPr>
      <t>3</t>
    </r>
    <r>
      <rPr>
        <rFont val="Calibri"/>
        <color rgb="FF000000"/>
        <sz val="12.0"/>
        <vertAlign val="superscript"/>
      </rPr>
      <t xml:space="preserve">rd  </t>
    </r>
  </si>
  <si>
    <r>
      <rPr>
        <rFont val="Calibri"/>
        <color rgb="FF000000"/>
        <sz val="12.0"/>
      </rPr>
      <t>4</t>
    </r>
    <r>
      <rPr>
        <rFont val="Calibri"/>
        <color rgb="FF000000"/>
        <sz val="12.0"/>
        <vertAlign val="superscript"/>
      </rPr>
      <t>th</t>
    </r>
    <r>
      <rPr>
        <rFont val="Calibri"/>
        <color rgb="FF000000"/>
        <sz val="12.0"/>
      </rPr>
      <t xml:space="preserve"> </t>
    </r>
  </si>
  <si>
    <t>TOTAL (Rs.)</t>
  </si>
  <si>
    <t>I. Details of tax deducted and deposited in the Central Government account through book adjustment</t>
  </si>
  <si>
    <t>(The Deductor to provide payment-wise details of tax deducted and deposited with respect to the deductee)</t>
  </si>
  <si>
    <r>
      <rPr>
        <rFont val="Times New Roman"/>
        <b/>
        <color rgb="FF000000"/>
        <sz val="10.0"/>
      </rPr>
      <t xml:space="preserve">Tax Deposited in respect of the deductee </t>
    </r>
    <r>
      <rPr>
        <rFont val="Rupee Foradian"/>
        <b/>
        <color rgb="FF000000"/>
        <sz val="10.0"/>
      </rPr>
      <t>(</t>
    </r>
    <r>
      <rPr>
        <rFont val="Times New Roman"/>
        <b/>
        <color rgb="FF000000"/>
        <sz val="10.0"/>
      </rPr>
      <t>Rs</t>
    </r>
    <r>
      <rPr>
        <rFont val="Rupee Foradian"/>
        <b/>
        <color rgb="FF000000"/>
        <sz val="10.0"/>
      </rPr>
      <t>)</t>
    </r>
  </si>
  <si>
    <t>Book identification number (BIN)</t>
  </si>
  <si>
    <t>Receipt numbers of form No. 24G</t>
  </si>
  <si>
    <t>DDO serial number in Form No. 24G</t>
  </si>
  <si>
    <t>Date of transfer voucher (dd/mm/yyyy)</t>
  </si>
  <si>
    <t>Status of matching with Form No. 24G</t>
  </si>
  <si>
    <t>Total</t>
  </si>
  <si>
    <t xml:space="preserve">II. Details of Tax deducted and deposited in Central Government Account through Challan. </t>
  </si>
  <si>
    <t>(The deducter to provide payment-wise details of tax deducted and deposited with respect to the deductee)</t>
  </si>
  <si>
    <r>
      <rPr>
        <rFont val="Times New Roman"/>
        <b/>
        <color rgb="FF000000"/>
        <sz val="8.0"/>
      </rPr>
      <t xml:space="preserve">Tax Deposited in respect on of the deductee </t>
    </r>
    <r>
      <rPr>
        <rFont val="Rupee Foradian"/>
        <b/>
        <color rgb="FF000000"/>
        <sz val="8.0"/>
      </rPr>
      <t>(Rs)</t>
    </r>
  </si>
  <si>
    <t>Challan identification number (CIN)</t>
  </si>
  <si>
    <t>BSR code of the Bank Branch</t>
  </si>
  <si>
    <t>Date on which tax deposited (dd/mm/yyyy)</t>
  </si>
  <si>
    <t>Challan Serial Number</t>
  </si>
  <si>
    <t>Status of matching with OLTAS</t>
  </si>
  <si>
    <t>:: 2 ::</t>
  </si>
  <si>
    <t>Verification</t>
  </si>
  <si>
    <t>I</t>
  </si>
  <si>
    <t xml:space="preserve">Son/Daughter of </t>
  </si>
  <si>
    <t xml:space="preserve">working in the </t>
  </si>
  <si>
    <t xml:space="preserve">capacity of </t>
  </si>
  <si>
    <t>PRINCIPAL</t>
  </si>
  <si>
    <t xml:space="preserve">(designation) do hereby certify that a sum of </t>
  </si>
  <si>
    <t>Rs.</t>
  </si>
  <si>
    <t xml:space="preserve">(in words) has been deducted </t>
  </si>
  <si>
    <t xml:space="preserve">and deposited to the credit of the Central Govt.. I further certify that the information given above is true, complete and correct </t>
  </si>
  <si>
    <t>and is based on the books of account, documents, TDS statement, TDS deposited and other available records.</t>
  </si>
  <si>
    <t>Place</t>
  </si>
  <si>
    <t>Date</t>
  </si>
  <si>
    <t>Signature of person responsible for deduction of tax</t>
  </si>
  <si>
    <t>Designation</t>
  </si>
  <si>
    <t>Full name :</t>
  </si>
  <si>
    <t>PART- B (Annexure)</t>
  </si>
  <si>
    <t>DETAILS OF SALARY PAID AND ANY OTHER INCOME AND TAX DEDUCTED</t>
  </si>
  <si>
    <t>1. Gross salary</t>
  </si>
  <si>
    <t>(a) Salary as per provisions contained in section 17(1)</t>
  </si>
  <si>
    <t>(b) Value of perquisites u/s 17(2) (as per Form No. 12BA, wherever applicable)</t>
  </si>
  <si>
    <t>(c) Profits in lieu of salary under section 17(3) (as per Form No. 12BA, wherever applicable)</t>
  </si>
  <si>
    <t>(d) Total  (a+b+c)</t>
  </si>
  <si>
    <t>2. Less: Allowance to the extent exempt u/s 10 House Rent Allowance</t>
  </si>
  <si>
    <t>Allowance</t>
  </si>
  <si>
    <t>House Rent Allow. US10 (13 A)</t>
  </si>
  <si>
    <t>US10 (14)</t>
  </si>
  <si>
    <t>3. Balance (1 - 2)</t>
  </si>
  <si>
    <t>4. Deductions: U/s 16</t>
  </si>
  <si>
    <t>(a)</t>
  </si>
  <si>
    <t>Standard Deduction (u/s 16 (ia)</t>
  </si>
  <si>
    <t>(b)</t>
  </si>
  <si>
    <t>Entertainment allowance</t>
  </si>
  <si>
    <t>(c)</t>
  </si>
  <si>
    <t>Tax on employment</t>
  </si>
  <si>
    <t>5. Aggregate of 4 (a) and (b)</t>
  </si>
  <si>
    <t xml:space="preserve"> Income chargeable under the head "salaries" (3-5)</t>
  </si>
  <si>
    <t>6. Income From House Property (a + b)</t>
  </si>
  <si>
    <t>30% of Rent</t>
  </si>
  <si>
    <t>Interest on Home Loan</t>
  </si>
  <si>
    <t>house Tax</t>
  </si>
  <si>
    <t>(a) Received House Rent</t>
  </si>
  <si>
    <t>Total (a-b)   +-</t>
  </si>
  <si>
    <t xml:space="preserve">7. Add: Any other income reported by employee </t>
  </si>
  <si>
    <t xml:space="preserve">FD व  अन्य स्रोत से प्राप्त ब्याज तथा Bond से प्राप्त ब्याज </t>
  </si>
  <si>
    <t xml:space="preserve">अन्य आय </t>
  </si>
  <si>
    <t>Saving Bank A/C interest</t>
  </si>
  <si>
    <t>8. Gross total income (6+7)</t>
  </si>
  <si>
    <t>9. Deductions under Chapter VI A</t>
  </si>
  <si>
    <t>(A) Section 80C, 80CCC and 80CCD</t>
  </si>
  <si>
    <t>(a) Section 80C</t>
  </si>
  <si>
    <t>Gross Amount</t>
  </si>
  <si>
    <t>Deductible Amount</t>
  </si>
  <si>
    <t>A</t>
  </si>
  <si>
    <t>(A)</t>
  </si>
  <si>
    <t>State Insurance</t>
  </si>
  <si>
    <t>Gr. Acc. Insurance</t>
  </si>
  <si>
    <t>LIC + ULIP + PLI</t>
  </si>
  <si>
    <t>PPF</t>
  </si>
  <si>
    <t>Home Loan Installment (Capital)</t>
  </si>
  <si>
    <t>Equity link saving schame + Defferred Annuty</t>
  </si>
  <si>
    <t>Pension Plan (US80ccc+US 80CCD)(1)</t>
  </si>
  <si>
    <t>Tution Fee</t>
  </si>
  <si>
    <t>NSC + Interest on NSC</t>
  </si>
  <si>
    <t>Sukanya Samridhi A/C</t>
  </si>
  <si>
    <t>Fixed Deposit above 5 years</t>
  </si>
  <si>
    <t>Mutual Fund</t>
  </si>
  <si>
    <t>(C) Section 80CCD(1B)  (RS.-50000/-)</t>
  </si>
  <si>
    <t>Total Deducation :</t>
  </si>
  <si>
    <t>………………… 3</t>
  </si>
  <si>
    <t>:: 3 ::</t>
  </si>
  <si>
    <t>(B) Other Sections (e.g. 80D, 80E, 80G etc.) under Chapter VIA</t>
  </si>
  <si>
    <t>Qualifying amount</t>
  </si>
  <si>
    <t>U/S 80D</t>
  </si>
  <si>
    <t>U/S 80DD</t>
  </si>
  <si>
    <t>U/S 80DDB</t>
  </si>
  <si>
    <t>U/S 80E</t>
  </si>
  <si>
    <t>U/S 80G</t>
  </si>
  <si>
    <t>U/S 80GGA</t>
  </si>
  <si>
    <t>U/S 80 EE &amp; US 80EEA  &amp; Others</t>
  </si>
  <si>
    <t>U/S 80U</t>
  </si>
  <si>
    <t>US 80TTA [Exempt Saving Bank Int. Max. RS. 10,000/-]</t>
  </si>
  <si>
    <t xml:space="preserve">10. Aggregate of deductible amount under chapter VIA </t>
  </si>
  <si>
    <t>11. Total income (8-10)</t>
  </si>
  <si>
    <t>(Roundup Figures of Rs 10)</t>
  </si>
  <si>
    <t>12. Tax on total income</t>
  </si>
  <si>
    <t>13. Rebate U/s 87 A (Taxable Income below Rs. 5,00,000/- in Old Regime , below Rs. 12,00,000/- in New Regime) &amp; Marginal relief benefit</t>
  </si>
  <si>
    <t>14. Tax payable (12-13)</t>
  </si>
  <si>
    <t>15. Education &amp; Health cess @ 4% (on tax computed at S.No. 12)</t>
  </si>
  <si>
    <t>16. Tax payable (14+15) [Round off U/s 288 B]</t>
  </si>
  <si>
    <t>17. Less:- Relief under section 89 (Attach Form 10E)</t>
  </si>
  <si>
    <t>18. Tax payable (14-15)</t>
  </si>
  <si>
    <t>19. Tax deducted at source u/s 192 (1)</t>
  </si>
  <si>
    <t xml:space="preserve">(in words) has beeen deducted and </t>
  </si>
  <si>
    <t>deposited to the  credit of the Central Government. I further certify that the information given above is true, complete and correct and is based on the books of account, documents, TDS statement, TDS deposited and other available records.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</si>
</sst>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dd/mm/yyyy"/>
    <numFmt numFmtId="165" formatCode="[$-409]mmm/yy"/>
    <numFmt numFmtId="166" formatCode="mmm-yy"/>
    <numFmt numFmtId="167" formatCode="D/M/YYYY"/>
    <numFmt numFmtId="168" formatCode="0000\ 0000\ 0000\ "/>
    <numFmt numFmtId="169" formatCode="&quot;Rs.&quot;\ #,##0;&quot;Rs.&quot;\ \-#,##0"/>
    <numFmt numFmtId="170" formatCode="_ &quot;Rs.&quot;\ * #,##0.00_ ;_ &quot;Rs.&quot;\ * \-#,##0.00_ ;_ &quot;Rs.&quot;\ * &quot;-&quot;??_ ;_ @_ "/>
  </numFmts>
  <fonts count="209">
    <font>
      <sz val="11.0"/>
      <color rgb="FF000000"/>
      <name val="Calibri"/>
      <scheme val="minor"/>
    </font>
    <font>
      <sz val="11.0"/>
      <color rgb="FF000000"/>
      <name val="Calibri"/>
    </font>
    <font>
      <b/>
      <i/>
      <u/>
      <sz val="18.0"/>
      <color rgb="FFCC00FF"/>
      <name val="Cambria"/>
    </font>
    <font>
      <b/>
      <sz val="16.0"/>
      <color rgb="FF000000"/>
      <name val="Kruti Dev 010"/>
    </font>
    <font/>
    <font>
      <b/>
      <i/>
      <u/>
      <sz val="14.0"/>
      <color rgb="FF000000"/>
      <name val="Times New Roman"/>
    </font>
    <font>
      <b/>
      <i/>
      <sz val="13.0"/>
      <color rgb="FF000000"/>
      <name val="Calibri"/>
    </font>
    <font>
      <b/>
      <sz val="14.0"/>
      <color rgb="FF000000"/>
      <name val="Kruti Dev 010"/>
    </font>
    <font>
      <u/>
      <sz val="11.0"/>
      <color rgb="FF0000FF"/>
      <name val="Calibri"/>
    </font>
    <font>
      <sz val="14.0"/>
      <color rgb="FF000000"/>
      <name val="Kruti Dev 010"/>
    </font>
    <font>
      <b/>
      <sz val="16.0"/>
      <color rgb="FF990033"/>
      <name val="Kruti Dev 010"/>
    </font>
    <font>
      <b/>
      <sz val="14.0"/>
      <color rgb="FF000000"/>
      <name val="Cambria"/>
    </font>
    <font>
      <b/>
      <sz val="12.0"/>
      <color rgb="FF000000"/>
      <name val="Calibri"/>
    </font>
    <font>
      <b/>
      <sz val="11.0"/>
      <color rgb="FF000000"/>
      <name val="Calibri"/>
    </font>
    <font>
      <b/>
      <u/>
      <sz val="14.0"/>
      <color rgb="FF0000FF"/>
      <name val="Calibri"/>
    </font>
    <font>
      <b/>
      <sz val="14.0"/>
      <color rgb="FFFF0000"/>
      <name val="Kruti Dev 010"/>
    </font>
    <font>
      <b/>
      <u/>
      <sz val="14.0"/>
      <color rgb="FF0000FF"/>
      <name val="Calibri"/>
    </font>
    <font>
      <b/>
      <sz val="18.0"/>
      <color rgb="FF0000FF"/>
      <name val="Cambria"/>
    </font>
    <font>
      <b/>
      <i/>
      <sz val="18.0"/>
      <color rgb="FFCC00FF"/>
      <name val="Calibri"/>
    </font>
    <font>
      <b/>
      <i/>
      <sz val="18.0"/>
      <color rgb="FF003366"/>
      <name val="Calibri"/>
    </font>
    <font>
      <strike/>
      <u/>
      <sz val="18.0"/>
      <color rgb="FF0000FF"/>
      <name val="Calibri"/>
    </font>
    <font>
      <b/>
      <sz val="18.0"/>
      <color rgb="FFC00000"/>
      <name val="Comic Sans MS"/>
    </font>
    <font>
      <b/>
      <sz val="14.0"/>
      <color rgb="FF000000"/>
      <name val="Calibri"/>
    </font>
    <font>
      <b/>
      <i/>
      <sz val="18.0"/>
      <color rgb="FF000000"/>
      <name val="Cambria"/>
    </font>
    <font>
      <b/>
      <u/>
      <sz val="14.0"/>
      <color rgb="FFCC0099"/>
      <name val="Calibri"/>
    </font>
    <font>
      <b/>
      <i/>
      <u/>
      <sz val="14.0"/>
      <color rgb="FF0000FF"/>
      <name val="Calibri"/>
    </font>
    <font>
      <b/>
      <i/>
      <sz val="18.0"/>
      <color rgb="FF000000"/>
      <name val="Times New Roman"/>
    </font>
    <font>
      <b/>
      <u/>
      <sz val="16.0"/>
      <color rgb="FF0000FF"/>
      <name val="Calibri"/>
    </font>
    <font>
      <b/>
      <i/>
      <sz val="14.0"/>
      <color rgb="FF000000"/>
      <name val="Calibri"/>
    </font>
    <font>
      <sz val="16.0"/>
      <color rgb="FF000000"/>
      <name val="DevLys 010"/>
    </font>
    <font>
      <sz val="16.0"/>
      <color rgb="FF000000"/>
      <name val="Kruti Dev 010"/>
    </font>
    <font>
      <sz val="14.0"/>
      <color rgb="FF002060"/>
      <name val="Calibri"/>
    </font>
    <font>
      <sz val="16.0"/>
      <color rgb="FF000000"/>
      <name val="Calibri"/>
    </font>
    <font>
      <sz val="16.0"/>
      <color rgb="FFDDD9C3"/>
      <name val="Calibri"/>
    </font>
    <font>
      <sz val="16.0"/>
      <color rgb="FFFF0000"/>
      <name val="Calibri"/>
    </font>
    <font>
      <sz val="11.0"/>
      <color rgb="FFFF0000"/>
      <name val="Calibri"/>
    </font>
    <font>
      <sz val="14.0"/>
      <color rgb="FF000000"/>
      <name val="DevLys 010"/>
    </font>
    <font>
      <sz val="18.0"/>
      <color rgb="FF000000"/>
      <name val="Times New Roman"/>
    </font>
    <font>
      <b/>
      <i/>
      <sz val="18.0"/>
      <color rgb="FF002060"/>
      <name val="Calibri"/>
    </font>
    <font>
      <b/>
      <u/>
      <sz val="16.0"/>
      <color rgb="FF0000FF"/>
      <name val="Calibri"/>
    </font>
    <font>
      <sz val="14.0"/>
      <color rgb="FF000000"/>
      <name val="Calibri"/>
    </font>
    <font>
      <sz val="14.0"/>
      <color rgb="FFDDD9C3"/>
      <name val="Calibri"/>
    </font>
    <font>
      <sz val="14.0"/>
      <color rgb="FFFF0000"/>
      <name val="Calibri"/>
    </font>
    <font>
      <b/>
      <sz val="11.0"/>
      <color rgb="FF7030A0"/>
      <name val="Calibri"/>
    </font>
    <font>
      <b/>
      <sz val="11.0"/>
      <color rgb="FFFF0000"/>
      <name val="Calibri"/>
    </font>
    <font>
      <b/>
      <sz val="12.0"/>
      <color rgb="FF990033"/>
      <name val="Calibri"/>
    </font>
    <font>
      <b/>
      <sz val="12.0"/>
      <color rgb="FF0000FF"/>
      <name val="Calibri"/>
    </font>
    <font>
      <b/>
      <sz val="12.0"/>
      <color rgb="FFFF0000"/>
      <name val="Calibri"/>
    </font>
    <font>
      <b/>
      <sz val="12.0"/>
      <color rgb="FFCC00FF"/>
      <name val="Calibri"/>
    </font>
    <font>
      <b/>
      <sz val="13.0"/>
      <color rgb="FFC00000"/>
      <name val="Calibri"/>
    </font>
    <font>
      <b/>
      <sz val="12.0"/>
      <color rgb="FF400E3C"/>
      <name val="Calibri"/>
    </font>
    <font>
      <b/>
      <sz val="12.0"/>
      <color rgb="FFC00000"/>
      <name val="Calibri"/>
    </font>
    <font>
      <b/>
      <sz val="10.0"/>
      <color rgb="FF0000FF"/>
      <name val="Calibri"/>
    </font>
    <font>
      <b/>
      <sz val="10.0"/>
      <color rgb="FF990033"/>
      <name val="Calibri"/>
    </font>
    <font>
      <sz val="11.0"/>
      <color rgb="FFDDD9C3"/>
      <name val="Calibri"/>
    </font>
    <font>
      <b/>
      <sz val="14.0"/>
      <color rgb="FFFF0000"/>
      <name val="Calibri"/>
    </font>
    <font>
      <sz val="16.0"/>
      <color rgb="FFDDD9C3"/>
      <name val="Kruti Dev 010"/>
    </font>
    <font>
      <sz val="16.0"/>
      <color rgb="FFFF0000"/>
      <name val="Kruti Dev 010"/>
    </font>
    <font>
      <sz val="11.0"/>
      <color rgb="FFFF0000"/>
      <name val="Kruti Dev 010"/>
    </font>
    <font>
      <sz val="12.0"/>
      <color rgb="FFFF0000"/>
      <name val="Calibri"/>
    </font>
    <font>
      <sz val="12.0"/>
      <color rgb="FF0000FF"/>
      <name val="Calibri"/>
    </font>
    <font>
      <color theme="1"/>
      <name val="Calibri"/>
      <scheme val="minor"/>
    </font>
    <font>
      <strike/>
      <sz val="16.0"/>
      <color rgb="FF000000"/>
      <name val="DevLys 010"/>
    </font>
    <font>
      <b/>
      <sz val="16.0"/>
      <color rgb="FFC0C03E"/>
      <name val="Kruti Dev 010"/>
    </font>
    <font>
      <b/>
      <i/>
      <u/>
      <sz val="18.0"/>
      <color rgb="FF3F3151"/>
      <name val="Calibri"/>
    </font>
    <font>
      <b/>
      <i/>
      <u/>
      <sz val="16.0"/>
      <color rgb="FFDBE5F1"/>
      <name val="Calibri"/>
    </font>
    <font>
      <b/>
      <sz val="16.0"/>
      <color rgb="FFFF0000"/>
      <name val="Calibri"/>
    </font>
    <font>
      <b/>
      <i/>
      <u/>
      <sz val="16.0"/>
      <color rgb="FF3F3151"/>
      <name val="Calibri"/>
    </font>
    <font>
      <b/>
      <sz val="14.0"/>
      <color theme="1"/>
      <name val="Calibri"/>
    </font>
    <font>
      <b/>
      <sz val="12.0"/>
      <color rgb="FFFFFF00"/>
      <name val="Kruti Dev 010"/>
    </font>
    <font>
      <b/>
      <sz val="13.0"/>
      <color rgb="FF000000"/>
      <name val="Comic Sans MS"/>
    </font>
    <font>
      <b/>
      <sz val="14.0"/>
      <color rgb="FFFFFF00"/>
      <name val="Kruti Dev 010"/>
    </font>
    <font>
      <b/>
      <sz val="14.0"/>
      <color rgb="FF7030A0"/>
      <name val="Kruti Dev 010"/>
    </font>
    <font>
      <b/>
      <u/>
      <sz val="12.0"/>
      <color rgb="FF33CC33"/>
      <name val="Calibri"/>
    </font>
    <font>
      <b/>
      <sz val="11.0"/>
      <color rgb="FF000000"/>
      <name val="Cambria"/>
    </font>
    <font>
      <b/>
      <sz val="16.0"/>
      <color rgb="FF000000"/>
      <name val="Calibri"/>
    </font>
    <font>
      <b/>
      <sz val="13.0"/>
      <color rgb="FFFFFF00"/>
      <name val="Calibri"/>
    </font>
    <font>
      <b/>
      <sz val="18.0"/>
      <color rgb="FFFF0000"/>
      <name val="Calibri"/>
    </font>
    <font>
      <b/>
      <sz val="13.0"/>
      <color rgb="FF000000"/>
      <name val="Kruti Dev 010"/>
    </font>
    <font>
      <b/>
      <sz val="12.0"/>
      <color rgb="FFCC00FF"/>
      <name val="Cambria"/>
    </font>
    <font>
      <b/>
      <sz val="16.0"/>
      <color rgb="FF166D07"/>
      <name val="Calibri"/>
    </font>
    <font>
      <sz val="11.0"/>
      <color rgb="FF0F243E"/>
      <name val="Kruti Dev 010"/>
    </font>
    <font>
      <b/>
      <sz val="13.0"/>
      <color rgb="FF000000"/>
      <name val="Calibri"/>
    </font>
    <font>
      <b/>
      <sz val="16.0"/>
      <color rgb="FF000000"/>
      <name val="Cambria"/>
    </font>
    <font>
      <b/>
      <sz val="13.0"/>
      <color rgb="FFFF0000"/>
      <name val="Cambria"/>
    </font>
    <font>
      <b/>
      <sz val="12.0"/>
      <color rgb="FF000000"/>
      <name val="Cambria"/>
    </font>
    <font>
      <b/>
      <sz val="14.0"/>
      <color rgb="FFCC0099"/>
      <name val="Calibri"/>
    </font>
    <font>
      <b/>
      <sz val="18.0"/>
      <color rgb="FF166D07"/>
      <name val="Calibri"/>
    </font>
    <font>
      <b/>
      <sz val="16.0"/>
      <color rgb="FF33CC33"/>
      <name val="Cambria"/>
    </font>
    <font>
      <b/>
      <u/>
      <sz val="12.0"/>
      <color rgb="FF0000FF"/>
      <name val="Calibri"/>
    </font>
    <font>
      <b/>
      <sz val="16.0"/>
      <color rgb="FFFF0000"/>
      <name val="Kruti Dev 010"/>
    </font>
    <font>
      <b/>
      <i/>
      <u/>
      <sz val="14.0"/>
      <color rgb="FFF2DBDB"/>
      <name val="Calibri"/>
    </font>
    <font>
      <b/>
      <i/>
      <u/>
      <sz val="16.0"/>
      <color rgb="FFFF0000"/>
      <name val="Calibri"/>
    </font>
    <font>
      <b/>
      <i/>
      <u/>
      <sz val="14.0"/>
      <color rgb="FFCC00FF"/>
      <name val="Calibri"/>
    </font>
    <font>
      <b/>
      <i/>
      <u/>
      <sz val="18.0"/>
      <color rgb="FF00B0F0"/>
      <name val="Calibri"/>
    </font>
    <font>
      <b/>
      <u/>
      <sz val="14.0"/>
      <color rgb="FF00FFFF"/>
      <name val="Calibri"/>
    </font>
    <font>
      <b/>
      <i/>
      <u/>
      <sz val="18.0"/>
      <color rgb="FF00B0F0"/>
      <name val="Calibri"/>
    </font>
    <font>
      <sz val="11.0"/>
      <color rgb="FFD99594"/>
      <name val="Calibri"/>
    </font>
    <font>
      <b/>
      <sz val="11.0"/>
      <color rgb="FFD99594"/>
      <name val="Calibri"/>
    </font>
    <font>
      <b/>
      <sz val="11.0"/>
      <color rgb="FFFFFF00"/>
      <name val="Calibri"/>
    </font>
    <font>
      <b/>
      <sz val="14.0"/>
      <color rgb="FFFFFF99"/>
      <name val="Calibri"/>
    </font>
    <font>
      <b/>
      <sz val="11.0"/>
      <color rgb="FF00B0F0"/>
      <name val="Calibri"/>
    </font>
    <font>
      <b/>
      <u/>
      <sz val="14.0"/>
      <color rgb="FFCC0099"/>
      <name val="Calibri"/>
    </font>
    <font>
      <b/>
      <u/>
      <sz val="14.0"/>
      <color rgb="FFCC0099"/>
      <name val="Calibri"/>
    </font>
    <font>
      <b/>
      <sz val="14.0"/>
      <color rgb="FFFFFF00"/>
      <name val="Calibri"/>
    </font>
    <font>
      <b/>
      <sz val="14.0"/>
      <color rgb="FF33CC33"/>
      <name val="Cambria"/>
    </font>
    <font>
      <b/>
      <sz val="13.0"/>
      <color rgb="FFFF0000"/>
      <name val="Calibri"/>
    </font>
    <font>
      <b/>
      <u/>
      <sz val="14.0"/>
      <color rgb="FFFFFF00"/>
      <name val="Calibri"/>
    </font>
    <font>
      <b/>
      <sz val="14.0"/>
      <color rgb="FFFFFF00"/>
      <name val="Cambria"/>
    </font>
    <font>
      <b/>
      <sz val="16.0"/>
      <color rgb="FF400E3C"/>
      <name val="Calibri"/>
    </font>
    <font>
      <b/>
      <u/>
      <sz val="14.0"/>
      <color rgb="FF33CC33"/>
      <name val="Calibri"/>
    </font>
    <font>
      <b/>
      <sz val="14.0"/>
      <color rgb="FF33CC33"/>
      <name val="Calibri"/>
    </font>
    <font>
      <b/>
      <i/>
      <sz val="16.0"/>
      <color rgb="FFFFFFFF"/>
      <name val="Calibri"/>
    </font>
    <font>
      <b/>
      <u/>
      <sz val="14.0"/>
      <color rgb="FFFFC000"/>
      <name val="Calibri"/>
    </font>
    <font>
      <b/>
      <u/>
      <sz val="14.0"/>
      <color rgb="FF00FFFF"/>
      <name val="Calibri"/>
    </font>
    <font>
      <b/>
      <sz val="11.0"/>
      <color rgb="FFCCC0D9"/>
      <name val="Calibri"/>
    </font>
    <font>
      <b/>
      <sz val="14.0"/>
      <color rgb="FF0000FF"/>
      <name val="Calibri"/>
    </font>
    <font>
      <b/>
      <sz val="11.0"/>
      <color rgb="FF0000FF"/>
      <name val="Calibri"/>
    </font>
    <font>
      <b/>
      <sz val="11.0"/>
      <color rgb="FFCC00FF"/>
      <name val="Calibri"/>
    </font>
    <font>
      <b/>
      <sz val="11.0"/>
      <color rgb="FFCC0099"/>
      <name val="Calibri"/>
    </font>
    <font>
      <b/>
      <sz val="13.0"/>
      <color rgb="FF0000FF"/>
      <name val="Calibri"/>
    </font>
    <font>
      <sz val="11.0"/>
      <color rgb="FF000000"/>
      <name val="Times New Roman"/>
    </font>
    <font>
      <b/>
      <u/>
      <sz val="16.0"/>
      <color rgb="FF33CC33"/>
      <name val="Cambria"/>
    </font>
    <font>
      <b/>
      <sz val="11.0"/>
      <color rgb="FF003366"/>
      <name val="Times New Roman"/>
    </font>
    <font>
      <b/>
      <sz val="12.0"/>
      <color rgb="FF003366"/>
      <name val="Times New Roman"/>
    </font>
    <font>
      <sz val="12.0"/>
      <color rgb="FF000000"/>
      <name val="Times New Roman"/>
    </font>
    <font>
      <b/>
      <i/>
      <sz val="18.0"/>
      <color rgb="FF008000"/>
      <name val="Times New Roman"/>
    </font>
    <font>
      <b/>
      <sz val="11.0"/>
      <color rgb="FF0000FF"/>
      <name val="Cambria"/>
    </font>
    <font>
      <b/>
      <sz val="11.0"/>
      <color rgb="FFFF0000"/>
      <name val="Times New Roman"/>
    </font>
    <font>
      <b/>
      <sz val="12.0"/>
      <color rgb="FF000000"/>
      <name val="Times New Roman"/>
    </font>
    <font>
      <b/>
      <i/>
      <u/>
      <sz val="14.0"/>
      <color rgb="FF008000"/>
      <name val="Calibri"/>
    </font>
    <font>
      <b/>
      <sz val="14.0"/>
      <color rgb="FF400E3C"/>
      <name val="Calibri"/>
    </font>
    <font>
      <b/>
      <sz val="16.0"/>
      <color rgb="FFCC0099"/>
      <name val="Calibri"/>
    </font>
    <font>
      <b/>
      <sz val="14.0"/>
      <color rgb="FFCC0099"/>
      <name val="Cambria"/>
    </font>
    <font>
      <b/>
      <sz val="14.0"/>
      <color rgb="FF002060"/>
      <name val="Calibri"/>
    </font>
    <font>
      <b/>
      <sz val="14.0"/>
      <color rgb="FF000080"/>
      <name val="Times New Roman"/>
    </font>
    <font>
      <b/>
      <sz val="14.0"/>
      <color rgb="FFFF0000"/>
      <name val="Times New Roman"/>
    </font>
    <font>
      <b/>
      <sz val="8.0"/>
      <color rgb="FF800000"/>
      <name val="Times New Roman"/>
    </font>
    <font>
      <b/>
      <sz val="14.0"/>
      <color rgb="FF800000"/>
      <name val="Calibri"/>
    </font>
    <font>
      <sz val="11.0"/>
      <color rgb="FF000000"/>
      <name val="Arial"/>
    </font>
    <font>
      <b/>
      <i/>
      <sz val="11.0"/>
      <color rgb="FF990033"/>
      <name val="Cambria"/>
    </font>
    <font>
      <b/>
      <u/>
      <sz val="14.0"/>
      <color rgb="FFFF0000"/>
      <name val="Times New Roman"/>
    </font>
    <font>
      <b/>
      <sz val="11.0"/>
      <color rgb="FFFFFFFF"/>
      <name val="Arial"/>
    </font>
    <font>
      <b/>
      <i/>
      <u/>
      <sz val="16.0"/>
      <color rgb="FFCC0099"/>
      <name val="Calibri"/>
    </font>
    <font>
      <i/>
      <u/>
      <sz val="12.0"/>
      <color rgb="FF000000"/>
      <name val="Calibri"/>
    </font>
    <font>
      <b/>
      <i/>
      <sz val="12.0"/>
      <color rgb="FF000000"/>
      <name val="Calibri"/>
    </font>
    <font>
      <b/>
      <sz val="9.0"/>
      <color rgb="FF000000"/>
      <name val="Calibri"/>
    </font>
    <font>
      <b/>
      <sz val="8.0"/>
      <color rgb="FF000000"/>
      <name val="Calibri"/>
    </font>
    <font>
      <sz val="9.0"/>
      <color rgb="FF000000"/>
      <name val="Calibri"/>
    </font>
    <font>
      <b/>
      <sz val="10.0"/>
      <color rgb="FF000000"/>
      <name val="Calibri"/>
    </font>
    <font>
      <sz val="8.0"/>
      <color rgb="FF000000"/>
      <name val="Calibri"/>
    </font>
    <font>
      <sz val="11.0"/>
      <color rgb="FFFFFFFF"/>
      <name val="Calibri"/>
    </font>
    <font>
      <sz val="10.0"/>
      <color rgb="FF000000"/>
      <name val="Calibri"/>
    </font>
    <font>
      <b/>
      <i/>
      <sz val="14.0"/>
      <color rgb="FF660033"/>
      <name val="Calibri"/>
    </font>
    <font>
      <b/>
      <i/>
      <sz val="12.0"/>
      <color rgb="FFCC0099"/>
      <name val="Calibri"/>
    </font>
    <font>
      <b/>
      <sz val="12.0"/>
      <color rgb="FF000000"/>
      <name val="Kruti Dev 010"/>
    </font>
    <font>
      <sz val="12.0"/>
      <color rgb="FF000000"/>
      <name val="Calibri"/>
    </font>
    <font>
      <b/>
      <i/>
      <u/>
      <sz val="14.0"/>
      <color rgb="FFFF0000"/>
      <name val="Calibri"/>
    </font>
    <font>
      <sz val="11.0"/>
      <color rgb="FFA5A5A5"/>
      <name val="Calibri"/>
    </font>
    <font>
      <b/>
      <sz val="14.0"/>
      <color rgb="FF002060"/>
      <name val="Kruti Dev 010"/>
    </font>
    <font>
      <b/>
      <sz val="11.0"/>
      <color rgb="FF002060"/>
      <name val="Calibri"/>
    </font>
    <font>
      <b/>
      <sz val="12.0"/>
      <color rgb="FF002060"/>
      <name val="Calibri"/>
    </font>
    <font>
      <b/>
      <sz val="13.0"/>
      <color rgb="FF002060"/>
      <name val="Cambria"/>
    </font>
    <font>
      <b/>
      <i/>
      <sz val="10.0"/>
      <color rgb="FF000000"/>
      <name val="Calibri"/>
    </font>
    <font>
      <b/>
      <sz val="24.0"/>
      <color rgb="FF7030A0"/>
      <name val="Noto Sans Symbols"/>
    </font>
    <font>
      <sz val="12.0"/>
      <color rgb="FF000000"/>
      <name val="DevLys 010"/>
    </font>
    <font>
      <sz val="10.0"/>
      <color rgb="FF000000"/>
      <name val="DevLys 010"/>
    </font>
    <font>
      <b/>
      <sz val="12.0"/>
      <color rgb="FF000000"/>
      <name val="DevLys 010"/>
    </font>
    <font>
      <b/>
      <i/>
      <u/>
      <sz val="11.0"/>
      <color rgb="FF002060"/>
      <name val="Calibri"/>
    </font>
    <font>
      <sz val="12.0"/>
      <color rgb="FF000000"/>
      <name val="Arial"/>
    </font>
    <font>
      <i/>
      <sz val="11.0"/>
      <color rgb="FF000000"/>
      <name val="Calibri"/>
    </font>
    <font>
      <sz val="12.0"/>
      <color rgb="FF000000"/>
      <name val="Kruti Dev 010"/>
    </font>
    <font>
      <b/>
      <u/>
      <sz val="16.0"/>
      <color rgb="FF0000FF"/>
      <name val="Calibri"/>
    </font>
    <font>
      <b/>
      <i/>
      <sz val="11.0"/>
      <color rgb="FF000000"/>
      <name val="Calibri"/>
    </font>
    <font>
      <b/>
      <sz val="16.0"/>
      <color rgb="FF990033"/>
      <name val="Noto Sans Symbols"/>
    </font>
    <font>
      <b/>
      <i/>
      <sz val="12.0"/>
      <color rgb="FF990033"/>
      <name val="Calibri"/>
    </font>
    <font>
      <b/>
      <sz val="14.0"/>
      <color rgb="FFA5A5A5"/>
      <name val="Kruti Dev 010"/>
    </font>
    <font>
      <b/>
      <sz val="12.0"/>
      <color rgb="FF7030A0"/>
      <name val="Calibri"/>
    </font>
    <font>
      <i/>
      <sz val="12.0"/>
      <color rgb="FF000000"/>
      <name val="Calibri"/>
    </font>
    <font>
      <sz val="11.0"/>
      <color rgb="FF00B050"/>
      <name val="Calibri"/>
    </font>
    <font>
      <sz val="11.0"/>
      <color rgb="FF0070C0"/>
      <name val="Calibri"/>
    </font>
    <font>
      <b/>
      <sz val="12.0"/>
      <color rgb="FFCC0099"/>
      <name val="Calibri"/>
    </font>
    <font>
      <b/>
      <sz val="9.0"/>
      <color rgb="FF000000"/>
      <name val="Arial"/>
    </font>
    <font>
      <sz val="10.0"/>
      <color rgb="FF000000"/>
      <name val="Kruti Dev 010"/>
    </font>
    <font>
      <sz val="11.0"/>
      <color rgb="FFCC00FF"/>
      <name val="Calibri"/>
    </font>
    <font>
      <b/>
      <sz val="10.0"/>
      <color rgb="FF000000"/>
      <name val="Kruti Dev 010"/>
    </font>
    <font>
      <b/>
      <i/>
      <sz val="10.0"/>
      <color rgb="FF000000"/>
      <name val="Kruti Dev 010"/>
    </font>
    <font>
      <sz val="11.0"/>
      <color rgb="FF000000"/>
      <name val="Kruti Dev 010"/>
    </font>
    <font>
      <b/>
      <sz val="16.0"/>
      <color rgb="FF990033"/>
      <name val="Calibri"/>
    </font>
    <font>
      <i/>
      <sz val="14.0"/>
      <color rgb="FF000000"/>
      <name val="Calibri"/>
    </font>
    <font>
      <sz val="11.0"/>
      <color rgb="FFCC0099"/>
      <name val="Calibri"/>
    </font>
    <font>
      <b/>
      <sz val="10.0"/>
      <color rgb="FF000000"/>
      <name val="Cambria"/>
    </font>
    <font>
      <b/>
      <sz val="11.0"/>
      <color rgb="FF000000"/>
      <name val="Times New Roman"/>
    </font>
    <font>
      <b/>
      <sz val="8.0"/>
      <color rgb="FF000000"/>
      <name val="Times New Roman"/>
    </font>
    <font>
      <sz val="10.0"/>
      <color rgb="FF000000"/>
      <name val="Times New Roman"/>
    </font>
    <font>
      <b/>
      <sz val="10.0"/>
      <color rgb="FF000000"/>
      <name val="Times New Roman"/>
    </font>
    <font>
      <b/>
      <sz val="9.0"/>
      <color rgb="FF000000"/>
      <name val="Times New Roman"/>
    </font>
    <font>
      <sz val="9.0"/>
      <color rgb="FF000000"/>
      <name val="Times New Roman"/>
    </font>
    <font>
      <sz val="8.0"/>
      <color rgb="FF000000"/>
      <name val="Times New Roman"/>
    </font>
    <font>
      <i/>
      <sz val="11.0"/>
      <color rgb="FF000000"/>
      <name val="Times New Roman"/>
    </font>
    <font>
      <sz val="10.0"/>
      <color rgb="FF000000"/>
      <name val="Rupee Foradian"/>
    </font>
    <font>
      <b/>
      <i/>
      <sz val="11.0"/>
      <color rgb="FF000000"/>
      <name val="Times New Roman"/>
    </font>
    <font>
      <i/>
      <sz val="10.0"/>
      <color rgb="FF000000"/>
      <name val="Times New Roman"/>
    </font>
    <font>
      <i/>
      <sz val="9.0"/>
      <color rgb="FF000000"/>
      <name val="Times New Roman"/>
    </font>
    <font>
      <i/>
      <sz val="8.0"/>
      <color rgb="FF000000"/>
      <name val="Times New Roman"/>
    </font>
    <font>
      <b/>
      <i/>
      <sz val="10.0"/>
      <color rgb="FF000000"/>
      <name val="Times New Roman"/>
    </font>
    <font>
      <b/>
      <i/>
      <sz val="9.0"/>
      <color rgb="FF000000"/>
      <name val="Times New Roman"/>
    </font>
    <font>
      <b/>
      <sz val="9.0"/>
      <color rgb="FF000000"/>
      <name val="Cambria"/>
    </font>
    <font>
      <b/>
      <i/>
      <u/>
      <sz val="14.0"/>
      <color rgb="FF000000"/>
      <name val="Times New Roman"/>
    </font>
  </fonts>
  <fills count="30">
    <fill>
      <patternFill patternType="none"/>
    </fill>
    <fill>
      <patternFill patternType="lightGray"/>
    </fill>
    <fill>
      <patternFill patternType="solid">
        <fgColor rgb="FFF2DBDB"/>
        <bgColor rgb="FFF2DBDB"/>
      </patternFill>
    </fill>
    <fill>
      <patternFill patternType="solid">
        <fgColor rgb="FF33CCCC"/>
        <bgColor rgb="FF33CCCC"/>
      </patternFill>
    </fill>
    <fill>
      <patternFill patternType="solid">
        <fgColor rgb="FFFFCC99"/>
        <bgColor rgb="FFFFCC99"/>
      </patternFill>
    </fill>
    <fill>
      <patternFill patternType="solid">
        <fgColor rgb="FFCCC0D9"/>
        <bgColor rgb="FFCCC0D9"/>
      </patternFill>
    </fill>
    <fill>
      <patternFill patternType="solid">
        <fgColor rgb="FFA45C9A"/>
        <bgColor rgb="FFA45C9A"/>
      </patternFill>
    </fill>
    <fill>
      <patternFill patternType="solid">
        <fgColor rgb="FF33CC33"/>
        <bgColor rgb="FF33CC33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99"/>
      </patternFill>
    </fill>
    <fill>
      <patternFill patternType="solid">
        <fgColor rgb="FF99FFCC"/>
        <bgColor rgb="FF99FFCC"/>
      </patternFill>
    </fill>
    <fill>
      <patternFill patternType="solid">
        <fgColor rgb="FFD99594"/>
        <bgColor rgb="FFD99594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rgb="FFFFFFFF"/>
      </patternFill>
    </fill>
    <fill>
      <patternFill patternType="solid">
        <fgColor rgb="FFC2D69B"/>
        <bgColor rgb="FFC2D69B"/>
      </patternFill>
    </fill>
    <fill>
      <patternFill patternType="solid">
        <fgColor rgb="FFDAEEF3"/>
        <bgColor rgb="FFDAEEF3"/>
      </patternFill>
    </fill>
    <fill>
      <patternFill patternType="solid">
        <fgColor rgb="FFFABF8F"/>
        <bgColor rgb="FFFABF8F"/>
      </patternFill>
    </fill>
    <fill>
      <patternFill patternType="solid">
        <fgColor rgb="FFDDD9C3"/>
        <bgColor rgb="FFDDD9C3"/>
      </patternFill>
    </fill>
    <fill>
      <patternFill patternType="solid">
        <fgColor rgb="FFEAF1DD"/>
        <bgColor rgb="FFEAF1DD"/>
      </patternFill>
    </fill>
    <fill>
      <patternFill patternType="solid">
        <fgColor rgb="FF0F243E"/>
        <bgColor rgb="FF0F243E"/>
      </patternFill>
    </fill>
    <fill>
      <patternFill patternType="solid">
        <fgColor rgb="FFFDE9D9"/>
        <bgColor rgb="FFFDE9D9"/>
      </patternFill>
    </fill>
    <fill>
      <patternFill patternType="solid">
        <fgColor rgb="FF400E3C"/>
        <bgColor rgb="FF400E3C"/>
      </patternFill>
    </fill>
    <fill>
      <patternFill patternType="solid">
        <fgColor rgb="FFD8D8D8"/>
        <bgColor rgb="FFD8D8D8"/>
      </patternFill>
    </fill>
    <fill>
      <patternFill patternType="solid">
        <fgColor rgb="FFB6DDE8"/>
        <bgColor rgb="FFB6DDE8"/>
      </patternFill>
    </fill>
    <fill>
      <patternFill patternType="solid">
        <fgColor rgb="FFCC0099"/>
        <bgColor rgb="FFCC0099"/>
      </patternFill>
    </fill>
    <fill>
      <patternFill patternType="solid">
        <fgColor rgb="FFB2A1C7"/>
        <bgColor rgb="FFB2A1C7"/>
      </patternFill>
    </fill>
    <fill>
      <patternFill patternType="solid">
        <fgColor rgb="FFE5B8B7"/>
        <bgColor rgb="FFE5B8B7"/>
      </patternFill>
    </fill>
    <fill>
      <patternFill patternType="solid">
        <fgColor rgb="FFE5DFEC"/>
        <bgColor rgb="FFE5DFEC"/>
      </patternFill>
    </fill>
    <fill>
      <patternFill patternType="solid">
        <fgColor rgb="FFFBD4B4"/>
        <bgColor rgb="FFFBD4B4"/>
      </patternFill>
    </fill>
    <fill>
      <patternFill patternType="solid">
        <fgColor rgb="FFCCFFCC"/>
        <bgColor rgb="FFCCFFCC"/>
      </patternFill>
    </fill>
  </fills>
  <borders count="245">
    <border/>
    <border>
      <left style="double">
        <color rgb="FF0000FF"/>
      </left>
      <top style="double">
        <color rgb="FF0000FF"/>
      </top>
      <bottom style="double">
        <color rgb="FF0000FF"/>
      </bottom>
    </border>
    <border>
      <right style="double">
        <color rgb="FF0000FF"/>
      </right>
      <top style="double">
        <color rgb="FF0000FF"/>
      </top>
      <bottom style="double">
        <color rgb="FF0000FF"/>
      </bottom>
    </border>
    <border>
      <left style="double">
        <color rgb="FF0000FF"/>
      </left>
      <right style="double">
        <color rgb="FF0000FF"/>
      </right>
      <top style="double">
        <color rgb="FF0000FF"/>
      </top>
    </border>
    <border>
      <left/>
      <right style="double">
        <color rgb="FF0000FF"/>
      </right>
      <top style="double">
        <color rgb="FF0000FF"/>
      </top>
      <bottom style="double">
        <color rgb="FF0000FF"/>
      </bottom>
    </border>
    <border>
      <left style="double">
        <color rgb="FF0000FF"/>
      </left>
      <right style="double">
        <color rgb="FF0000FF"/>
      </right>
    </border>
    <border>
      <left style="double">
        <color rgb="FF0000FF"/>
      </left>
      <right style="double">
        <color rgb="FF0000FF"/>
      </right>
      <bottom style="double">
        <color rgb="FF0000FF"/>
      </bottom>
    </border>
    <border>
      <left style="double">
        <color rgb="FF0000FF"/>
      </left>
    </border>
    <border>
      <top style="double">
        <color rgb="FF0000FF"/>
      </top>
    </border>
    <border>
      <left/>
      <right/>
      <top/>
      <bottom/>
    </border>
    <border>
      <left style="double">
        <color rgb="FF00B050"/>
      </left>
      <top style="double">
        <color rgb="FF00B050"/>
      </top>
      <bottom style="double">
        <color rgb="FF00B050"/>
      </bottom>
    </border>
    <border>
      <right style="double">
        <color rgb="FF00B050"/>
      </right>
      <top style="double">
        <color rgb="FF00B050"/>
      </top>
      <bottom style="double">
        <color rgb="FF00B05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top/>
      <bottom/>
    </border>
    <border>
      <right style="medium">
        <color rgb="FF000000"/>
      </right>
      <top/>
      <bottom/>
    </border>
    <border>
      <left style="medium">
        <color rgb="FF000000"/>
      </left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/>
      <right/>
      <top/>
    </border>
    <border>
      <left/>
      <right/>
      <bottom/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dotted">
        <color rgb="FF660033"/>
      </left>
      <top style="dotted">
        <color rgb="FF660033"/>
      </top>
      <bottom style="dotted">
        <color rgb="FF660033"/>
      </bottom>
    </border>
    <border>
      <right style="dotted">
        <color rgb="FF660033"/>
      </right>
      <top style="dotted">
        <color rgb="FF660033"/>
      </top>
      <bottom style="dotted">
        <color rgb="FF660033"/>
      </bottom>
    </border>
    <border>
      <left/>
      <top style="dotted">
        <color rgb="FF000000"/>
      </top>
      <bottom style="dotted">
        <color rgb="FF000000"/>
      </bottom>
    </border>
    <border>
      <top style="dotted">
        <color rgb="FF000000"/>
      </top>
      <bottom style="dotted">
        <color rgb="FF000000"/>
      </bottom>
    </border>
    <border>
      <right style="dotted">
        <color rgb="FF000000"/>
      </right>
      <top style="dotted">
        <color rgb="FF000000"/>
      </top>
      <bottom style="dotted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 style="double">
        <color rgb="FF000000"/>
      </left>
      <right style="thin">
        <color rgb="FF000000"/>
      </right>
      <top style="double">
        <color rgb="FF000000"/>
      </top>
    </border>
    <border>
      <left style="thin">
        <color rgb="FF000000"/>
      </left>
      <right style="thin">
        <color rgb="FF000000"/>
      </right>
      <top style="double">
        <color rgb="FF000000"/>
      </top>
    </border>
    <border>
      <left style="thin">
        <color rgb="FF000000"/>
      </left>
      <right/>
      <top style="double">
        <color rgb="FF000000"/>
      </top>
    </border>
    <border>
      <left style="double">
        <color rgb="FF000000"/>
      </left>
      <right style="double">
        <color rgb="FF000000"/>
      </right>
      <top style="double">
        <color rgb="FF000000"/>
      </top>
      <bottom style="thin">
        <color rgb="FF000000"/>
      </bottom>
    </border>
    <border>
      <left/>
      <right style="thin">
        <color rgb="FF000000"/>
      </right>
      <top style="double">
        <color rgb="FF000000"/>
      </top>
    </border>
    <border>
      <left style="thin">
        <color rgb="FF000000"/>
      </left>
      <right style="double">
        <color rgb="FF000000"/>
      </right>
      <top style="double">
        <color rgb="FF000000"/>
      </top>
    </border>
    <border>
      <left style="double">
        <color rgb="FF000000"/>
      </left>
      <right style="thin">
        <color rgb="FF000000"/>
      </right>
      <bottom style="double">
        <color rgb="FF000000"/>
      </bottom>
    </border>
    <border>
      <left style="thin">
        <color rgb="FF000000"/>
      </left>
      <right style="thin">
        <color rgb="FF000000"/>
      </right>
      <bottom style="double">
        <color rgb="FF000000"/>
      </bottom>
    </border>
    <border>
      <left style="thin">
        <color rgb="FF000000"/>
      </left>
      <right/>
      <bottom style="double">
        <color rgb="FF000000"/>
      </bottom>
    </border>
    <border>
      <left style="double">
        <color rgb="FF000000"/>
      </left>
      <right style="double">
        <color rgb="FF000000"/>
      </right>
      <bottom style="double">
        <color rgb="FF000000"/>
      </bottom>
    </border>
    <border>
      <left/>
      <right style="thin">
        <color rgb="FF000000"/>
      </right>
      <bottom style="double">
        <color rgb="FF000000"/>
      </bottom>
    </border>
    <border>
      <left style="thin">
        <color rgb="FF000000"/>
      </left>
      <right style="double">
        <color rgb="FF000000"/>
      </right>
      <bottom style="double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FFFF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FFFF00"/>
      </right>
      <top/>
      <bottom style="thin">
        <color rgb="FF000000"/>
      </bottom>
    </border>
    <border>
      <left style="medium">
        <color rgb="FFFFFF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FFFF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medium">
        <color rgb="FFFFFF00"/>
      </left>
      <right style="thin">
        <color rgb="FF000000"/>
      </right>
      <top style="thin">
        <color rgb="FF000000"/>
      </top>
      <bottom style="medium">
        <color rgb="FFFFFF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FFFF00"/>
      </bottom>
    </border>
    <border>
      <left style="thin">
        <color rgb="FF000000"/>
      </left>
      <right style="medium">
        <color rgb="FFFFFF00"/>
      </right>
      <top style="thin">
        <color rgb="FF000000"/>
      </top>
      <bottom style="medium">
        <color rgb="FFFFFF00"/>
      </bottom>
    </border>
    <border>
      <left style="medium">
        <color rgb="FF33CC33"/>
      </left>
      <top style="medium">
        <color rgb="FF33CC33"/>
      </top>
      <bottom style="medium">
        <color rgb="FF33CC33"/>
      </bottom>
    </border>
    <border>
      <top style="medium">
        <color rgb="FF33CC33"/>
      </top>
      <bottom style="medium">
        <color rgb="FF33CC33"/>
      </bottom>
    </border>
    <border>
      <right style="medium">
        <color rgb="FF33CC33"/>
      </right>
      <top style="medium">
        <color rgb="FF33CC33"/>
      </top>
      <bottom style="medium">
        <color rgb="FF33CC33"/>
      </bottom>
    </border>
    <border>
      <left style="double">
        <color rgb="FF7030A0"/>
      </left>
      <top style="double">
        <color rgb="FF7030A0"/>
      </top>
      <bottom style="double">
        <color rgb="FF7030A0"/>
      </bottom>
    </border>
    <border>
      <right style="double">
        <color rgb="FF7030A0"/>
      </right>
      <top style="double">
        <color rgb="FF7030A0"/>
      </top>
      <bottom style="double">
        <color rgb="FF7030A0"/>
      </bottom>
    </border>
    <border>
      <top style="double">
        <color rgb="FF7030A0"/>
      </top>
      <bottom style="double">
        <color rgb="FF7030A0"/>
      </bottom>
    </border>
    <border>
      <left style="double">
        <color rgb="FF953734"/>
      </left>
      <top style="double">
        <color rgb="FF953734"/>
      </top>
      <bottom style="double">
        <color rgb="FF953734"/>
      </bottom>
    </border>
    <border>
      <top style="double">
        <color rgb="FF953734"/>
      </top>
      <bottom style="double">
        <color rgb="FF953734"/>
      </bottom>
    </border>
    <border>
      <right style="double">
        <color rgb="FF953734"/>
      </right>
      <top style="double">
        <color rgb="FF953734"/>
      </top>
      <bottom style="double">
        <color rgb="FF953734"/>
      </bottom>
    </border>
    <border>
      <top style="double">
        <color rgb="FF00B050"/>
      </top>
      <bottom style="double">
        <color rgb="FF00B050"/>
      </bottom>
    </border>
    <border>
      <left style="double">
        <color rgb="FF33CC33"/>
      </left>
      <right style="double">
        <color rgb="FF33CC33"/>
      </right>
      <top style="double">
        <color rgb="FF33CC33"/>
      </top>
      <bottom style="double">
        <color rgb="FF33CC33"/>
      </bottom>
    </border>
    <border>
      <left style="double">
        <color rgb="FF33CC33"/>
      </left>
      <top style="double">
        <color rgb="FF33CC33"/>
      </top>
      <bottom style="double">
        <color rgb="FF33CC33"/>
      </bottom>
    </border>
    <border>
      <top style="double">
        <color rgb="FF33CC33"/>
      </top>
      <bottom style="double">
        <color rgb="FF33CC33"/>
      </bottom>
    </border>
    <border>
      <right style="double">
        <color rgb="FF33CC33"/>
      </right>
      <top style="double">
        <color rgb="FF33CC33"/>
      </top>
      <bottom style="double">
        <color rgb="FF33CC33"/>
      </bottom>
    </border>
    <border>
      <left style="double">
        <color rgb="FF33CC33"/>
      </left>
      <top style="double">
        <color rgb="FF33CC33"/>
      </top>
    </border>
    <border>
      <top style="double">
        <color rgb="FF33CC33"/>
      </top>
    </border>
    <border>
      <right style="double">
        <color rgb="FF33CC33"/>
      </right>
      <top style="double">
        <color rgb="FF33CC33"/>
      </top>
    </border>
    <border>
      <left style="double">
        <color rgb="FF33CC33"/>
      </left>
      <bottom style="double">
        <color rgb="FF33CC33"/>
      </bottom>
    </border>
    <border>
      <bottom style="double">
        <color rgb="FF33CC33"/>
      </bottom>
    </border>
    <border>
      <right style="double">
        <color rgb="FF33CC33"/>
      </right>
      <bottom style="double">
        <color rgb="FF33CC33"/>
      </bottom>
    </border>
    <border>
      <left style="double">
        <color rgb="FF33CC33"/>
      </left>
      <right style="double">
        <color rgb="FF33CC33"/>
      </right>
      <top style="double">
        <color rgb="FF33CC33"/>
      </top>
    </border>
    <border>
      <left style="double">
        <color rgb="FF33CC33"/>
      </left>
    </border>
    <border>
      <right style="double">
        <color rgb="FF33CC33"/>
      </right>
    </border>
    <border>
      <left style="double">
        <color rgb="FF33CC33"/>
      </left>
      <right style="double">
        <color rgb="FF33CC33"/>
      </right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00B050"/>
      </bottom>
    </border>
    <border>
      <left style="double">
        <color rgb="FF33CC33"/>
      </left>
      <right style="double">
        <color rgb="FF33CC33"/>
      </right>
      <bottom style="double">
        <color rgb="FF33CC33"/>
      </bottom>
    </border>
    <border>
      <left/>
      <top style="double">
        <color rgb="FF00B050"/>
      </top>
      <bottom/>
    </border>
    <border>
      <top style="double">
        <color rgb="FF00B050"/>
      </top>
      <bottom/>
    </border>
    <border>
      <right/>
      <top style="double">
        <color rgb="FF00B050"/>
      </top>
      <bottom/>
    </border>
    <border>
      <left/>
      <right/>
      <top style="double">
        <color rgb="FF00B050"/>
      </top>
      <bottom/>
    </border>
    <border>
      <left style="double">
        <color rgb="FF33CC33"/>
      </left>
      <right/>
      <top/>
      <bottom/>
    </border>
    <border>
      <left style="double">
        <color rgb="FF00B050"/>
      </left>
      <right style="double">
        <color rgb="FF00B050"/>
      </right>
      <top/>
      <bottom style="double">
        <color rgb="FF00B050"/>
      </bottom>
    </border>
    <border>
      <left style="thin">
        <color rgb="FF000000"/>
      </lef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double">
        <color rgb="FF00B050"/>
      </right>
      <top style="thin">
        <color rgb="FF000000"/>
      </top>
      <bottom style="thin">
        <color rgb="FF000000"/>
      </bottom>
    </border>
    <border>
      <left style="medium">
        <color rgb="FF0000FF"/>
      </left>
      <top style="medium">
        <color rgb="FF0000FF"/>
      </top>
    </border>
    <border>
      <left style="medium">
        <color rgb="FF000000"/>
      </left>
      <top style="medium">
        <color rgb="FF0000FF"/>
      </top>
    </border>
    <border>
      <top style="medium">
        <color rgb="FF0000FF"/>
      </top>
    </border>
    <border>
      <right style="medium">
        <color rgb="FF000000"/>
      </right>
      <top style="medium">
        <color rgb="FF0000FF"/>
      </top>
    </border>
    <border>
      <right style="medium">
        <color rgb="FF0000FF"/>
      </right>
      <top style="medium">
        <color rgb="FF0000FF"/>
      </top>
    </border>
    <border>
      <left style="medium">
        <color rgb="FF0000FF"/>
      </left>
    </border>
    <border>
      <left style="medium">
        <color rgb="FF0000FF"/>
      </left>
      <right/>
      <top style="medium">
        <color rgb="FF0000FF"/>
      </top>
      <bottom/>
    </border>
    <border>
      <left/>
      <right/>
      <top style="medium">
        <color rgb="FF0000FF"/>
      </top>
      <bottom/>
    </border>
    <border>
      <left/>
      <right style="medium">
        <color rgb="FF0000FF"/>
      </right>
      <top style="medium">
        <color rgb="FF0000FF"/>
      </top>
      <bottom/>
    </border>
    <border>
      <right style="medium">
        <color rgb="FF0000FF"/>
      </right>
    </border>
    <border>
      <left style="medium">
        <color rgb="FF0000FF"/>
      </left>
      <right style="thin">
        <color rgb="FF000000"/>
      </right>
      <top/>
      <bottom style="thin">
        <color rgb="FF000000"/>
      </bottom>
    </border>
    <border>
      <left style="medium">
        <color rgb="FF0000FF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FF"/>
      </right>
      <top/>
      <bottom/>
    </border>
    <border>
      <left style="medium">
        <color rgb="FF0000FF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FF"/>
      </left>
      <top style="thin">
        <color rgb="FF000000"/>
      </top>
      <bottom/>
    </border>
    <border>
      <right/>
      <top style="thin">
        <color rgb="FF000000"/>
      </top>
      <bottom/>
    </border>
    <border>
      <left style="medium">
        <color rgb="FF0000FF"/>
      </left>
      <top/>
      <bottom/>
    </border>
    <border>
      <left style="medium">
        <color rgb="FF0000FF"/>
      </left>
      <right/>
      <top/>
      <bottom style="medium">
        <color rgb="FF0000FF"/>
      </bottom>
    </border>
    <border>
      <left/>
      <right/>
      <top/>
      <bottom style="medium">
        <color rgb="FF0000FF"/>
      </bottom>
    </border>
    <border>
      <bottom style="medium">
        <color rgb="FF0000FF"/>
      </bottom>
    </border>
    <border>
      <left/>
      <right style="medium">
        <color rgb="FF0000FF"/>
      </right>
      <top/>
      <bottom style="medium">
        <color rgb="FF0000FF"/>
      </bottom>
    </border>
    <border>
      <left style="medium">
        <color rgb="FF0000FF"/>
      </left>
      <bottom style="medium">
        <color rgb="FF0000FF"/>
      </bottom>
    </border>
    <border>
      <right style="medium">
        <color rgb="FF0000FF"/>
      </right>
      <bottom style="medium">
        <color rgb="FF0000FF"/>
      </bottom>
    </border>
    <border>
      <left/>
      <top style="medium">
        <color rgb="FF0000FF"/>
      </top>
      <bottom/>
    </border>
    <border>
      <top style="medium">
        <color rgb="FF0000FF"/>
      </top>
      <bottom/>
    </border>
    <border>
      <right/>
      <top style="medium">
        <color rgb="FF0000FF"/>
      </top>
      <bottom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bottom style="double">
        <color rgb="FF0000FF"/>
      </bottom>
    </border>
    <border>
      <left style="double">
        <color rgb="FF0000FF"/>
      </left>
      <right style="thin">
        <color rgb="FF0000FF"/>
      </right>
      <top style="double">
        <color rgb="FF0000FF"/>
      </top>
      <bottom style="thin">
        <color rgb="FF0000FF"/>
      </bottom>
    </border>
    <border>
      <left style="thin">
        <color rgb="FF0000FF"/>
      </left>
      <top style="double">
        <color rgb="FF0000FF"/>
      </top>
      <bottom style="thin">
        <color rgb="FF0000FF"/>
      </bottom>
    </border>
    <border>
      <right style="thin">
        <color rgb="FF0000FF"/>
      </right>
      <top style="double">
        <color rgb="FF0000FF"/>
      </top>
      <bottom style="thin">
        <color rgb="FF0000FF"/>
      </bottom>
    </border>
    <border>
      <top style="double">
        <color rgb="FF0000FF"/>
      </top>
      <bottom style="thin">
        <color rgb="FF0000FF"/>
      </bottom>
    </border>
    <border>
      <left style="thin">
        <color rgb="FF0000FF"/>
      </left>
      <right style="thin">
        <color rgb="FF0000FF"/>
      </right>
      <top style="double">
        <color rgb="FF0000FF"/>
      </top>
      <bottom style="thin">
        <color rgb="FF0000FF"/>
      </bottom>
    </border>
    <border>
      <right style="double">
        <color rgb="FF0000FF"/>
      </right>
      <top style="double">
        <color rgb="FF0000FF"/>
      </top>
      <bottom style="thin">
        <color rgb="FF0000FF"/>
      </bottom>
    </border>
    <border>
      <left style="double">
        <color rgb="FF0000FF"/>
      </left>
      <right style="thin">
        <color rgb="FF0000FF"/>
      </right>
      <top style="thin">
        <color rgb="FF0000FF"/>
      </top>
    </border>
    <border>
      <left style="thin">
        <color rgb="FF0000FF"/>
      </left>
      <top style="thin">
        <color rgb="FF0000FF"/>
      </top>
      <bottom style="thin">
        <color rgb="FF0000FF"/>
      </bottom>
    </border>
    <border>
      <top style="thin">
        <color rgb="FF0000FF"/>
      </top>
      <bottom style="thin">
        <color rgb="FF0000FF"/>
      </bottom>
    </border>
    <border>
      <right style="thin">
        <color rgb="FF0000FF"/>
      </right>
      <top style="thin">
        <color rgb="FF0000FF"/>
      </top>
      <bottom style="thin">
        <color rgb="FF0000FF"/>
      </bottom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</border>
    <border>
      <left style="thin">
        <color rgb="FF0000FF"/>
      </left>
      <right style="double">
        <color rgb="FF0000FF"/>
      </right>
      <top style="thin">
        <color rgb="FF0000FF"/>
      </top>
      <bottom style="thin">
        <color rgb="FF0000FF"/>
      </bottom>
    </border>
    <border>
      <left style="double">
        <color rgb="FF0000FF"/>
      </left>
      <right style="thin">
        <color rgb="FF0000FF"/>
      </right>
      <top style="thin">
        <color rgb="FF0000FF"/>
      </top>
      <bottom style="thin">
        <color rgb="FF0000FF"/>
      </bottom>
    </border>
    <border>
      <left style="thin">
        <color rgb="FF0000FF"/>
      </left>
      <top style="thin">
        <color rgb="FF0000FF"/>
      </top>
    </border>
    <border>
      <right style="double">
        <color rgb="FF0000FF"/>
      </right>
      <top style="thin">
        <color rgb="FF0000FF"/>
      </top>
    </border>
    <border>
      <left style="double">
        <color rgb="FF0000FF"/>
      </left>
      <right style="thin">
        <color rgb="FF0000FF"/>
      </right>
    </border>
    <border>
      <left style="thin">
        <color rgb="FF0000FF"/>
      </left>
    </border>
    <border>
      <right style="double">
        <color rgb="FF0000FF"/>
      </right>
    </border>
    <border>
      <left style="thin">
        <color rgb="FF0000FF"/>
      </left>
      <bottom style="thin">
        <color rgb="FF0000FF"/>
      </bottom>
    </border>
    <border>
      <right style="double">
        <color rgb="FF0000FF"/>
      </right>
      <bottom style="thin">
        <color rgb="FF0000FF"/>
      </bottom>
    </border>
    <border>
      <left style="double">
        <color rgb="FF0000FF"/>
      </left>
      <right style="thin">
        <color rgb="FF0000FF"/>
      </right>
      <bottom style="thin">
        <color rgb="FF0000FF"/>
      </bottom>
    </border>
    <border>
      <right style="thin">
        <color rgb="FF0000FF"/>
      </right>
      <top style="thin">
        <color rgb="FF0000FF"/>
      </top>
    </border>
    <border>
      <right style="thin">
        <color rgb="FF0000FF"/>
      </right>
      <bottom style="thin">
        <color rgb="FF0000FF"/>
      </bottom>
    </border>
    <border>
      <right style="double">
        <color rgb="FF0000FF"/>
      </right>
      <top style="thin">
        <color rgb="FF0000FF"/>
      </top>
      <bottom style="thin">
        <color rgb="FF0000FF"/>
      </bottom>
    </border>
    <border>
      <top style="thin">
        <color rgb="FF0000FF"/>
      </top>
    </border>
    <border>
      <left style="thin">
        <color rgb="FF0000FF"/>
      </left>
      <right style="thin">
        <color rgb="FF0000FF"/>
      </right>
      <top style="thin">
        <color rgb="FF0000FF"/>
      </top>
    </border>
    <border>
      <bottom style="thin">
        <color rgb="FF0000FF"/>
      </bottom>
    </border>
    <border>
      <left style="double">
        <color rgb="FF0000FF"/>
      </left>
      <top style="thin">
        <color rgb="FF0000FF"/>
      </top>
      <bottom style="double">
        <color rgb="FF0000FF"/>
      </bottom>
    </border>
    <border>
      <top style="thin">
        <color rgb="FF0000FF"/>
      </top>
      <bottom style="double">
        <color rgb="FF0000FF"/>
      </bottom>
    </border>
    <border>
      <right style="thin">
        <color rgb="FF0000FF"/>
      </right>
      <top style="thin">
        <color rgb="FF0000FF"/>
      </top>
      <bottom style="double">
        <color rgb="FF0000FF"/>
      </bottom>
    </border>
    <border>
      <left style="thin">
        <color rgb="FF0000FF"/>
      </left>
      <right style="thin">
        <color rgb="FF0000FF"/>
      </right>
      <top style="thin">
        <color rgb="FF0000FF"/>
      </top>
      <bottom style="double">
        <color rgb="FF0000FF"/>
      </bottom>
    </border>
    <border>
      <left style="thin">
        <color rgb="FF0000FF"/>
      </left>
      <right style="double">
        <color rgb="FF0000FF"/>
      </right>
      <top style="thin">
        <color rgb="FF0000FF"/>
      </top>
      <bottom style="double">
        <color rgb="FF0000FF"/>
      </bottom>
    </border>
    <border>
      <left style="double">
        <color rgb="FF990033"/>
      </left>
      <top style="double">
        <color rgb="FF990033"/>
      </top>
      <bottom style="thin">
        <color rgb="FF990033"/>
      </bottom>
    </border>
    <border>
      <right style="thin">
        <color rgb="FF990033"/>
      </right>
      <top style="double">
        <color rgb="FF990033"/>
      </top>
      <bottom style="thin">
        <color rgb="FF990033"/>
      </bottom>
    </border>
    <border>
      <left style="thin">
        <color rgb="FF990033"/>
      </left>
      <top style="double">
        <color rgb="FF990033"/>
      </top>
      <bottom style="thin">
        <color rgb="FF990033"/>
      </bottom>
    </border>
    <border>
      <top style="double">
        <color rgb="FF990033"/>
      </top>
      <bottom style="thin">
        <color rgb="FF990033"/>
      </bottom>
    </border>
    <border>
      <right style="double">
        <color rgb="FF990033"/>
      </right>
      <top style="double">
        <color rgb="FF990033"/>
      </top>
      <bottom style="thin">
        <color rgb="FF990033"/>
      </bottom>
    </border>
    <border>
      <left style="double">
        <color rgb="FF990033"/>
      </left>
      <top style="thin">
        <color rgb="FF990033"/>
      </top>
      <bottom style="thin">
        <color rgb="FF990033"/>
      </bottom>
    </border>
    <border>
      <right style="thin">
        <color rgb="FF990033"/>
      </right>
      <top style="thin">
        <color rgb="FF990033"/>
      </top>
      <bottom style="thin">
        <color rgb="FF990033"/>
      </bottom>
    </border>
    <border>
      <left style="thin">
        <color rgb="FF990033"/>
      </left>
      <top style="thin">
        <color rgb="FF990033"/>
      </top>
      <bottom style="thin">
        <color rgb="FF990033"/>
      </bottom>
    </border>
    <border>
      <top style="thin">
        <color rgb="FF990033"/>
      </top>
      <bottom style="thin">
        <color rgb="FF990033"/>
      </bottom>
    </border>
    <border>
      <right style="double">
        <color rgb="FF990033"/>
      </right>
      <top style="thin">
        <color rgb="FF990033"/>
      </top>
      <bottom style="thin">
        <color rgb="FF990033"/>
      </bottom>
    </border>
    <border>
      <left style="double">
        <color rgb="FF990033"/>
      </left>
      <top style="thin">
        <color rgb="FF990033"/>
      </top>
      <bottom style="double">
        <color rgb="FF990033"/>
      </bottom>
    </border>
    <border>
      <right style="thin">
        <color rgb="FF990033"/>
      </right>
      <top style="thin">
        <color rgb="FF990033"/>
      </top>
      <bottom style="double">
        <color rgb="FF990033"/>
      </bottom>
    </border>
    <border>
      <left style="thin">
        <color rgb="FF990033"/>
      </left>
      <top style="thin">
        <color rgb="FF990033"/>
      </top>
      <bottom style="double">
        <color rgb="FF990033"/>
      </bottom>
    </border>
    <border>
      <top style="thin">
        <color rgb="FF990033"/>
      </top>
      <bottom style="double">
        <color rgb="FF990033"/>
      </bottom>
    </border>
    <border>
      <right style="double">
        <color rgb="FF990033"/>
      </right>
      <top style="thin">
        <color rgb="FF990033"/>
      </top>
      <bottom style="double">
        <color rgb="FF990033"/>
      </bottom>
    </border>
    <border>
      <right style="thin">
        <color rgb="FF000000"/>
      </right>
      <top style="double">
        <color rgb="FF990033"/>
      </top>
      <bottom style="thin">
        <color rgb="FF990033"/>
      </bottom>
    </border>
    <border>
      <left style="double">
        <color rgb="FF990033"/>
      </left>
      <top style="thin">
        <color rgb="FF990033"/>
      </top>
      <bottom/>
    </border>
    <border>
      <top style="thin">
        <color rgb="FF990033"/>
      </top>
      <bottom/>
    </border>
    <border>
      <right style="thin">
        <color rgb="FF990033"/>
      </right>
      <top style="thin">
        <color rgb="FF990033"/>
      </top>
      <bottom/>
    </border>
    <border>
      <left style="double">
        <color rgb="FF990033"/>
      </left>
      <top/>
      <bottom style="thin">
        <color rgb="FF990033"/>
      </bottom>
    </border>
    <border>
      <top/>
      <bottom style="thin">
        <color rgb="FF990033"/>
      </bottom>
    </border>
    <border>
      <right style="thin">
        <color rgb="FF990033"/>
      </right>
      <top/>
      <bottom style="thin">
        <color rgb="FF990033"/>
      </bottom>
    </border>
    <border>
      <right style="thin">
        <color rgb="FF000000"/>
      </right>
      <top style="thin">
        <color rgb="FF990033"/>
      </top>
      <bottom style="thin">
        <color rgb="FF990033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double">
        <color rgb="FFCC0099"/>
      </left>
      <top style="double">
        <color rgb="FFCC0099"/>
      </top>
      <bottom style="double">
        <color rgb="FFCC0099"/>
      </bottom>
    </border>
    <border>
      <top style="double">
        <color rgb="FFCC0099"/>
      </top>
      <bottom style="double">
        <color rgb="FFCC0099"/>
      </bottom>
    </border>
    <border>
      <right style="double">
        <color rgb="FFCC0099"/>
      </right>
      <top style="double">
        <color rgb="FFCC0099"/>
      </top>
      <bottom style="double">
        <color rgb="FFCC0099"/>
      </bottom>
    </border>
    <border>
      <left style="double">
        <color rgb="FFCC0099"/>
      </left>
      <top style="double">
        <color rgb="FFCC0099"/>
      </top>
      <bottom/>
    </border>
    <border>
      <top style="double">
        <color rgb="FFCC0099"/>
      </top>
      <bottom/>
    </border>
    <border>
      <right style="double">
        <color rgb="FFCC0099"/>
      </right>
      <top style="double">
        <color rgb="FFCC0099"/>
      </top>
      <bottom/>
    </border>
    <border>
      <left style="double">
        <color rgb="FFCC0099"/>
      </left>
      <top/>
      <bottom style="double">
        <color rgb="FFCC0099"/>
      </bottom>
    </border>
    <border>
      <top/>
      <bottom style="double">
        <color rgb="FFCC0099"/>
      </bottom>
    </border>
    <border>
      <right style="double">
        <color rgb="FFCC0099"/>
      </right>
      <top/>
      <bottom style="double">
        <color rgb="FFCC0099"/>
      </bottom>
    </border>
    <border>
      <left style="double">
        <color rgb="FFCC0099"/>
      </left>
      <right style="double">
        <color rgb="FFCC0099"/>
      </right>
      <top style="double">
        <color rgb="FFCC0099"/>
      </top>
      <bottom style="double">
        <color rgb="FFCC0099"/>
      </bottom>
    </border>
    <border>
      <left style="double">
        <color rgb="FFCC0099"/>
      </left>
      <top style="double">
        <color rgb="FFCC0099"/>
      </top>
    </border>
    <border>
      <right style="double">
        <color rgb="FFCC0099"/>
      </right>
      <top style="double">
        <color rgb="FFCC0099"/>
      </top>
    </border>
    <border>
      <left style="double">
        <color rgb="FFCC0099"/>
      </left>
      <bottom style="double">
        <color rgb="FFCC0099"/>
      </bottom>
    </border>
    <border>
      <right style="double">
        <color rgb="FFCC0099"/>
      </right>
      <bottom style="double">
        <color rgb="FFCC0099"/>
      </bottom>
    </border>
    <border>
      <top style="double">
        <color rgb="FFCC0099"/>
      </top>
    </border>
    <border>
      <left style="double">
        <color rgb="FFCC0099"/>
      </left>
    </border>
    <border>
      <right style="double">
        <color rgb="FFCC0099"/>
      </right>
    </border>
    <border>
      <left style="double">
        <color rgb="FFE36C09"/>
      </left>
      <right style="double">
        <color rgb="FFE36C09"/>
      </right>
      <top style="double">
        <color rgb="FFE36C09"/>
      </top>
    </border>
    <border>
      <left style="double">
        <color rgb="FFE36C09"/>
      </left>
      <top style="double">
        <color rgb="FFE36C09"/>
      </top>
    </border>
    <border>
      <right style="double">
        <color rgb="FFE36C09"/>
      </right>
      <top style="double">
        <color rgb="FFE36C09"/>
      </top>
    </border>
    <border>
      <left style="double">
        <color rgb="FFE36C09"/>
      </left>
      <top style="double">
        <color rgb="FFE36C09"/>
      </top>
      <bottom style="double">
        <color rgb="FFE36C09"/>
      </bottom>
    </border>
    <border>
      <top style="double">
        <color rgb="FFE36C09"/>
      </top>
      <bottom style="double">
        <color rgb="FFE36C09"/>
      </bottom>
    </border>
    <border>
      <right style="double">
        <color rgb="FFE36C09"/>
      </right>
      <top style="double">
        <color rgb="FFE36C09"/>
      </top>
      <bottom style="double">
        <color rgb="FFE36C09"/>
      </bottom>
    </border>
    <border>
      <left style="double">
        <color rgb="FFE36C09"/>
      </left>
      <right style="double">
        <color rgb="FFE36C09"/>
      </right>
      <bottom style="double">
        <color rgb="FFE36C09"/>
      </bottom>
    </border>
    <border>
      <left style="double">
        <color rgb="FFE36C09"/>
      </left>
      <bottom style="double">
        <color rgb="FFE36C09"/>
      </bottom>
    </border>
    <border>
      <right style="double">
        <color rgb="FFE36C09"/>
      </right>
      <bottom style="double">
        <color rgb="FFE36C09"/>
      </bottom>
    </border>
    <border>
      <left style="double">
        <color rgb="FFE36C09"/>
      </left>
      <right style="double">
        <color rgb="FFE36C09"/>
      </right>
      <top style="double">
        <color rgb="FFE36C09"/>
      </top>
      <bottom style="double">
        <color rgb="FFE36C09"/>
      </bottom>
    </border>
    <border>
      <top style="double">
        <color rgb="FF0000FF"/>
      </top>
      <bottom style="double">
        <color rgb="FF0000FF"/>
      </bottom>
    </border>
    <border>
      <left style="double">
        <color rgb="FF0000FF"/>
      </left>
      <top style="double">
        <color rgb="FF0000FF"/>
      </top>
    </border>
    <border>
      <right style="double">
        <color rgb="FF0000FF"/>
      </right>
      <top style="double">
        <color rgb="FF0000FF"/>
      </top>
    </border>
    <border>
      <left style="double">
        <color rgb="FF0000FF"/>
      </left>
      <bottom style="double">
        <color rgb="FF0000FF"/>
      </bottom>
    </border>
    <border>
      <right style="double">
        <color rgb="FF0000FF"/>
      </right>
      <bottom style="double">
        <color rgb="FF0000FF"/>
      </bottom>
    </border>
    <border>
      <left style="double">
        <color rgb="FF0000FF"/>
      </left>
      <right style="double">
        <color rgb="FF0000FF"/>
      </right>
      <top style="double">
        <color rgb="FF0000FF"/>
      </top>
      <bottom style="double">
        <color rgb="FF0000FF"/>
      </bottom>
    </border>
    <border>
      <left style="double">
        <color rgb="FF0000FF"/>
      </left>
      <right/>
      <top style="double">
        <color rgb="FF0000FF"/>
      </top>
      <bottom/>
    </border>
    <border>
      <left/>
      <right style="double">
        <color rgb="FF0000FF"/>
      </right>
      <top style="double">
        <color rgb="FF0000FF"/>
      </top>
      <bottom/>
    </border>
    <border>
      <left style="double">
        <color rgb="FF0000FF"/>
      </left>
      <right/>
      <top/>
      <bottom/>
    </border>
    <border>
      <left/>
      <right style="double">
        <color rgb="FF0000FF"/>
      </right>
      <top/>
      <bottom/>
    </border>
    <border>
      <bottom style="double">
        <color rgb="FFCC0099"/>
      </bottom>
    </border>
  </borders>
  <cellStyleXfs count="1">
    <xf borderId="0" fillId="0" fontId="0" numFmtId="0" applyAlignment="1" applyFont="1"/>
  </cellStyleXfs>
  <cellXfs count="839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vertical="center"/>
    </xf>
    <xf borderId="1" fillId="2" fontId="3" numFmtId="0" xfId="0" applyAlignment="1" applyBorder="1" applyFill="1" applyFont="1">
      <alignment horizontal="center" shrinkToFit="0" vertical="top" wrapText="1"/>
    </xf>
    <xf borderId="2" fillId="0" fontId="4" numFmtId="0" xfId="0" applyAlignment="1" applyBorder="1" applyFont="1">
      <alignment vertical="center"/>
    </xf>
    <xf borderId="3" fillId="0" fontId="1" numFmtId="0" xfId="0" applyAlignment="1" applyBorder="1" applyFont="1">
      <alignment horizontal="center" vertical="bottom"/>
    </xf>
    <xf borderId="4" fillId="3" fontId="5" numFmtId="0" xfId="0" applyAlignment="1" applyBorder="1" applyFill="1" applyFont="1">
      <alignment horizontal="center" vertical="center"/>
    </xf>
    <xf borderId="5" fillId="0" fontId="4" numFmtId="0" xfId="0" applyAlignment="1" applyBorder="1" applyFont="1">
      <alignment vertical="center"/>
    </xf>
    <xf borderId="4" fillId="4" fontId="6" numFmtId="0" xfId="0" applyAlignment="1" applyBorder="1" applyFill="1" applyFont="1">
      <alignment horizontal="center" vertical="center"/>
    </xf>
    <xf borderId="6" fillId="0" fontId="4" numFmtId="0" xfId="0" applyAlignment="1" applyBorder="1" applyFont="1">
      <alignment vertical="center"/>
    </xf>
    <xf borderId="4" fillId="4" fontId="7" numFmtId="0" xfId="0" applyAlignment="1" applyBorder="1" applyFont="1">
      <alignment horizontal="left" shrinkToFit="0" vertical="center" wrapText="1"/>
    </xf>
    <xf borderId="0" fillId="0" fontId="8" numFmtId="0" xfId="0" applyAlignment="1" applyFont="1">
      <alignment vertical="bottom"/>
    </xf>
    <xf borderId="6" fillId="0" fontId="7" numFmtId="0" xfId="0" applyAlignment="1" applyBorder="1" applyFont="1">
      <alignment horizontal="center" shrinkToFit="0" vertical="top" wrapText="1"/>
    </xf>
    <xf borderId="4" fillId="5" fontId="9" numFmtId="0" xfId="0" applyAlignment="1" applyBorder="1" applyFill="1" applyFont="1">
      <alignment horizontal="left" shrinkToFit="0" vertical="center" wrapText="1"/>
    </xf>
    <xf borderId="7" fillId="0" fontId="10" numFmtId="0" xfId="0" applyAlignment="1" applyBorder="1" applyFont="1">
      <alignment horizontal="center" vertical="center"/>
    </xf>
    <xf borderId="1" fillId="0" fontId="11" numFmtId="0" xfId="0" applyAlignment="1" applyBorder="1" applyFont="1">
      <alignment horizontal="center" vertical="center"/>
    </xf>
    <xf borderId="7" fillId="0" fontId="10" numFmtId="0" xfId="0" applyAlignment="1" applyBorder="1" applyFont="1">
      <alignment horizontal="center" vertical="bottom"/>
    </xf>
    <xf borderId="1" fillId="4" fontId="9" numFmtId="0" xfId="0" applyAlignment="1" applyBorder="1" applyFont="1">
      <alignment horizontal="left" shrinkToFit="0" vertical="center" wrapText="1"/>
    </xf>
    <xf borderId="8" fillId="0" fontId="1" numFmtId="0" xfId="0" applyAlignment="1" applyBorder="1" applyFont="1">
      <alignment horizontal="center" vertical="bottom"/>
    </xf>
    <xf borderId="8" fillId="0" fontId="4" numFmtId="0" xfId="0" applyAlignment="1" applyBorder="1" applyFont="1">
      <alignment vertical="center"/>
    </xf>
    <xf borderId="9" fillId="6" fontId="12" numFmtId="0" xfId="0" applyAlignment="1" applyBorder="1" applyFill="1" applyFont="1">
      <alignment horizontal="center" vertical="center"/>
    </xf>
    <xf borderId="0" fillId="0" fontId="12" numFmtId="0" xfId="0" applyAlignment="1" applyFont="1">
      <alignment horizontal="left" vertical="center"/>
    </xf>
    <xf borderId="9" fillId="7" fontId="13" numFmtId="0" xfId="0" applyAlignment="1" applyBorder="1" applyFill="1" applyFont="1">
      <alignment horizontal="center" shrinkToFit="0" vertical="center" wrapText="1"/>
    </xf>
    <xf borderId="0" fillId="0" fontId="1" numFmtId="0" xfId="0" applyAlignment="1" applyFont="1">
      <alignment horizontal="center" vertical="bottom"/>
    </xf>
    <xf borderId="0" fillId="0" fontId="14" numFmtId="0" xfId="0" applyAlignment="1" applyFont="1">
      <alignment vertical="center"/>
    </xf>
    <xf borderId="10" fillId="8" fontId="15" numFmtId="0" xfId="0" applyAlignment="1" applyBorder="1" applyFill="1" applyFont="1">
      <alignment horizontal="left" shrinkToFit="0" vertical="top" wrapText="1"/>
    </xf>
    <xf borderId="11" fillId="0" fontId="4" numFmtId="0" xfId="0" applyAlignment="1" applyBorder="1" applyFont="1">
      <alignment vertical="center"/>
    </xf>
    <xf borderId="0" fillId="0" fontId="16" numFmtId="0" xfId="0" applyAlignment="1" applyFont="1">
      <alignment horizontal="center" vertical="center"/>
    </xf>
    <xf borderId="12" fillId="9" fontId="17" numFmtId="0" xfId="0" applyAlignment="1" applyBorder="1" applyFill="1" applyFont="1">
      <alignment horizontal="center" vertical="bottom"/>
    </xf>
    <xf borderId="13" fillId="0" fontId="4" numFmtId="0" xfId="0" applyAlignment="1" applyBorder="1" applyFont="1">
      <alignment vertical="center"/>
    </xf>
    <xf borderId="14" fillId="9" fontId="18" numFmtId="0" xfId="0" applyAlignment="1" applyBorder="1" applyFont="1">
      <alignment horizontal="center" vertical="bottom"/>
    </xf>
    <xf borderId="15" fillId="0" fontId="4" numFmtId="0" xfId="0" applyAlignment="1" applyBorder="1" applyFont="1">
      <alignment vertical="center"/>
    </xf>
    <xf borderId="14" fillId="9" fontId="19" numFmtId="0" xfId="0" applyAlignment="1" applyBorder="1" applyFont="1">
      <alignment horizontal="center" vertical="bottom"/>
    </xf>
    <xf borderId="14" fillId="9" fontId="20" numFmtId="0" xfId="0" applyAlignment="1" applyBorder="1" applyFont="1">
      <alignment horizontal="center" vertical="bottom"/>
    </xf>
    <xf borderId="16" fillId="9" fontId="21" numFmtId="0" xfId="0" applyAlignment="1" applyBorder="1" applyFont="1">
      <alignment horizontal="center" vertical="bottom"/>
    </xf>
    <xf borderId="17" fillId="0" fontId="4" numFmtId="0" xfId="0" applyAlignment="1" applyBorder="1" applyFont="1">
      <alignment vertical="center"/>
    </xf>
    <xf borderId="0" fillId="0" fontId="1" numFmtId="0" xfId="0" applyAlignment="1" applyFont="1">
      <alignment horizontal="center" vertical="center"/>
    </xf>
    <xf borderId="9" fillId="10" fontId="22" numFmtId="0" xfId="0" applyAlignment="1" applyBorder="1" applyFill="1" applyFont="1">
      <alignment horizontal="center" vertical="center"/>
    </xf>
    <xf borderId="18" fillId="11" fontId="23" numFmtId="0" xfId="0" applyAlignment="1" applyBorder="1" applyFill="1" applyFont="1">
      <alignment horizontal="center" shrinkToFit="0" vertical="center" wrapText="1"/>
    </xf>
    <xf borderId="0" fillId="0" fontId="24" numFmtId="164" xfId="0" applyAlignment="1" applyFont="1" applyNumberFormat="1">
      <alignment horizontal="center" vertical="center"/>
    </xf>
    <xf borderId="19" fillId="0" fontId="4" numFmtId="0" xfId="0" applyAlignment="1" applyBorder="1" applyFont="1">
      <alignment vertical="center"/>
    </xf>
    <xf borderId="9" fillId="12" fontId="25" numFmtId="0" xfId="0" applyAlignment="1" applyBorder="1" applyFill="1" applyFont="1">
      <alignment horizontal="center" vertical="center"/>
    </xf>
    <xf borderId="9" fillId="11" fontId="26" numFmtId="0" xfId="0" applyAlignment="1" applyBorder="1" applyFont="1">
      <alignment horizontal="center" vertical="center"/>
    </xf>
    <xf borderId="9" fillId="8" fontId="27" numFmtId="0" xfId="0" applyAlignment="1" applyBorder="1" applyFont="1">
      <alignment horizontal="center" shrinkToFit="0" vertical="center" wrapText="1"/>
    </xf>
    <xf borderId="0" fillId="0" fontId="28" numFmtId="0" xfId="0" applyAlignment="1" applyFont="1">
      <alignment shrinkToFit="0" vertical="center" wrapText="1"/>
    </xf>
    <xf borderId="0" fillId="0" fontId="29" numFmtId="0" xfId="0" applyAlignment="1" applyFont="1">
      <alignment shrinkToFit="0" vertical="bottom" wrapText="1"/>
    </xf>
    <xf borderId="9" fillId="11" fontId="30" numFmtId="0" xfId="0" applyAlignment="1" applyBorder="1" applyFont="1">
      <alignment shrinkToFit="0" vertical="bottom" wrapText="1"/>
    </xf>
    <xf borderId="20" fillId="11" fontId="31" numFmtId="0" xfId="0" applyAlignment="1" applyBorder="1" applyFont="1">
      <alignment horizontal="center" shrinkToFit="0" vertical="center" wrapText="1"/>
    </xf>
    <xf borderId="21" fillId="0" fontId="4" numFmtId="0" xfId="0" applyAlignment="1" applyBorder="1" applyFont="1">
      <alignment vertical="center"/>
    </xf>
    <xf borderId="22" fillId="0" fontId="4" numFmtId="0" xfId="0" applyAlignment="1" applyBorder="1" applyFont="1">
      <alignment vertical="center"/>
    </xf>
    <xf borderId="0" fillId="0" fontId="32" numFmtId="0" xfId="0" applyAlignment="1" applyFont="1">
      <alignment shrinkToFit="0" vertical="bottom" wrapText="1"/>
    </xf>
    <xf borderId="0" fillId="0" fontId="33" numFmtId="0" xfId="0" applyAlignment="1" applyFont="1">
      <alignment shrinkToFit="0" vertical="bottom" wrapText="1"/>
    </xf>
    <xf borderId="0" fillId="0" fontId="34" numFmtId="0" xfId="0" applyAlignment="1" applyFont="1">
      <alignment shrinkToFit="0" vertical="bottom" wrapText="1"/>
    </xf>
    <xf borderId="9" fillId="13" fontId="34" numFmtId="0" xfId="0" applyAlignment="1" applyBorder="1" applyFill="1" applyFont="1">
      <alignment shrinkToFit="0" vertical="bottom" wrapText="1"/>
    </xf>
    <xf borderId="9" fillId="13" fontId="35" numFmtId="0" xfId="0" applyAlignment="1" applyBorder="1" applyFont="1">
      <alignment vertical="bottom"/>
    </xf>
    <xf borderId="9" fillId="13" fontId="35" numFmtId="1" xfId="0" applyAlignment="1" applyBorder="1" applyFont="1" applyNumberFormat="1">
      <alignment vertical="bottom"/>
    </xf>
    <xf borderId="23" fillId="0" fontId="4" numFmtId="0" xfId="0" applyAlignment="1" applyBorder="1" applyFont="1">
      <alignment vertical="center"/>
    </xf>
    <xf borderId="24" fillId="0" fontId="4" numFmtId="0" xfId="0" applyAlignment="1" applyBorder="1" applyFont="1">
      <alignment vertical="center"/>
    </xf>
    <xf borderId="25" fillId="0" fontId="4" numFmtId="0" xfId="0" applyAlignment="1" applyBorder="1" applyFont="1">
      <alignment vertical="center"/>
    </xf>
    <xf borderId="9" fillId="11" fontId="32" numFmtId="0" xfId="0" applyAlignment="1" applyBorder="1" applyFont="1">
      <alignment shrinkToFit="0" vertical="bottom" wrapText="1"/>
    </xf>
    <xf borderId="0" fillId="0" fontId="36" numFmtId="0" xfId="0" applyAlignment="1" applyFont="1">
      <alignment shrinkToFit="0" vertical="bottom" wrapText="1"/>
    </xf>
    <xf borderId="9" fillId="11" fontId="30" numFmtId="0" xfId="0" applyAlignment="1" applyBorder="1" applyFont="1">
      <alignment horizontal="center" shrinkToFit="0" vertical="bottom" wrapText="1"/>
    </xf>
    <xf borderId="26" fillId="0" fontId="37" numFmtId="0" xfId="0" applyAlignment="1" applyBorder="1" applyFont="1">
      <alignment horizontal="right" vertical="center"/>
    </xf>
    <xf borderId="27" fillId="0" fontId="4" numFmtId="0" xfId="0" applyAlignment="1" applyBorder="1" applyFont="1">
      <alignment vertical="center"/>
    </xf>
    <xf borderId="28" fillId="14" fontId="38" numFmtId="0" xfId="0" applyAlignment="1" applyBorder="1" applyFill="1" applyFont="1">
      <alignment horizontal="left" shrinkToFit="0" vertical="center" wrapText="1"/>
    </xf>
    <xf borderId="29" fillId="0" fontId="4" numFmtId="0" xfId="0" applyAlignment="1" applyBorder="1" applyFont="1">
      <alignment vertical="center"/>
    </xf>
    <xf borderId="30" fillId="0" fontId="4" numFmtId="0" xfId="0" applyAlignment="1" applyBorder="1" applyFont="1">
      <alignment vertical="center"/>
    </xf>
    <xf borderId="31" fillId="11" fontId="39" numFmtId="0" xfId="0" applyAlignment="1" applyBorder="1" applyFont="1">
      <alignment horizontal="center" shrinkToFit="0" vertical="bottom" wrapText="1"/>
    </xf>
    <xf borderId="32" fillId="0" fontId="4" numFmtId="0" xfId="0" applyAlignment="1" applyBorder="1" applyFont="1">
      <alignment vertical="center"/>
    </xf>
    <xf borderId="33" fillId="0" fontId="4" numFmtId="0" xfId="0" applyAlignment="1" applyBorder="1" applyFont="1">
      <alignment vertical="center"/>
    </xf>
    <xf borderId="0" fillId="0" fontId="40" numFmtId="0" xfId="0" applyAlignment="1" applyFont="1">
      <alignment shrinkToFit="0" vertical="bottom" wrapText="1"/>
    </xf>
    <xf borderId="0" fillId="0" fontId="41" numFmtId="0" xfId="0" applyAlignment="1" applyFont="1">
      <alignment shrinkToFit="0" vertical="bottom" wrapText="1"/>
    </xf>
    <xf borderId="0" fillId="0" fontId="42" numFmtId="0" xfId="0" applyAlignment="1" applyFont="1">
      <alignment shrinkToFit="0" vertical="bottom" wrapText="1"/>
    </xf>
    <xf borderId="9" fillId="13" fontId="42" numFmtId="0" xfId="0" applyAlignment="1" applyBorder="1" applyFont="1">
      <alignment shrinkToFit="0" vertical="bottom" wrapText="1"/>
    </xf>
    <xf borderId="0" fillId="0" fontId="43" numFmtId="0" xfId="0" applyAlignment="1" applyFont="1">
      <alignment horizontal="center" vertical="center"/>
    </xf>
    <xf borderId="9" fillId="13" fontId="42" numFmtId="165" xfId="0" applyAlignment="1" applyBorder="1" applyFont="1" applyNumberFormat="1">
      <alignment shrinkToFit="0" vertical="bottom" wrapText="1"/>
    </xf>
    <xf borderId="9" fillId="13" fontId="42" numFmtId="0" xfId="0" applyAlignment="1" applyBorder="1" applyFont="1">
      <alignment horizontal="center" shrinkToFit="0" vertical="center" wrapText="1"/>
    </xf>
    <xf borderId="9" fillId="13" fontId="42" numFmtId="0" xfId="0" applyAlignment="1" applyBorder="1" applyFont="1">
      <alignment horizontal="center" vertical="center"/>
    </xf>
    <xf borderId="9" fillId="13" fontId="44" numFmtId="0" xfId="0" applyAlignment="1" applyBorder="1" applyFont="1">
      <alignment shrinkToFit="0" vertical="bottom" wrapText="1"/>
    </xf>
    <xf borderId="0" fillId="0" fontId="36" numFmtId="0" xfId="0" applyAlignment="1" applyFont="1">
      <alignment horizontal="center" shrinkToFit="0" vertical="center" wrapText="1"/>
    </xf>
    <xf borderId="34" fillId="9" fontId="45" numFmtId="0" xfId="0" applyAlignment="1" applyBorder="1" applyFont="1">
      <alignment horizontal="center" shrinkToFit="0" vertical="center" wrapText="1"/>
    </xf>
    <xf borderId="35" fillId="9" fontId="45" numFmtId="0" xfId="0" applyAlignment="1" applyBorder="1" applyFont="1">
      <alignment horizontal="center" shrinkToFit="0" vertical="center" wrapText="1"/>
    </xf>
    <xf borderId="36" fillId="9" fontId="45" numFmtId="0" xfId="0" applyAlignment="1" applyBorder="1" applyFont="1">
      <alignment horizontal="center" shrinkToFit="0" vertical="center" wrapText="1"/>
    </xf>
    <xf borderId="37" fillId="0" fontId="46" numFmtId="0" xfId="0" applyAlignment="1" applyBorder="1" applyFont="1">
      <alignment horizontal="center" shrinkToFit="0" vertical="center" wrapText="1"/>
    </xf>
    <xf borderId="38" fillId="9" fontId="45" numFmtId="0" xfId="0" applyAlignment="1" applyBorder="1" applyFont="1">
      <alignment horizontal="center" shrinkToFit="0" vertical="center" wrapText="1"/>
    </xf>
    <xf borderId="39" fillId="9" fontId="45" numFmtId="0" xfId="0" applyAlignment="1" applyBorder="1" applyFont="1">
      <alignment horizontal="center" shrinkToFit="0" vertical="center" wrapText="1"/>
    </xf>
    <xf borderId="0" fillId="0" fontId="40" numFmtId="0" xfId="0" applyAlignment="1" applyFont="1">
      <alignment horizontal="center" shrinkToFit="0" vertical="center" wrapText="1"/>
    </xf>
    <xf borderId="0" fillId="0" fontId="41" numFmtId="0" xfId="0" applyAlignment="1" applyFont="1">
      <alignment horizontal="center" shrinkToFit="0" vertical="center" wrapText="1"/>
    </xf>
    <xf borderId="0" fillId="0" fontId="42" numFmtId="0" xfId="0" applyAlignment="1" applyFont="1">
      <alignment horizontal="center" shrinkToFit="0" vertical="center" wrapText="1"/>
    </xf>
    <xf borderId="9" fillId="13" fontId="35" numFmtId="166" xfId="0" applyAlignment="1" applyBorder="1" applyFont="1" applyNumberFormat="1">
      <alignment vertical="bottom"/>
    </xf>
    <xf borderId="40" fillId="0" fontId="4" numFmtId="0" xfId="0" applyAlignment="1" applyBorder="1" applyFont="1">
      <alignment vertical="center"/>
    </xf>
    <xf borderId="41" fillId="0" fontId="4" numFmtId="0" xfId="0" applyAlignment="1" applyBorder="1" applyFont="1">
      <alignment vertical="center"/>
    </xf>
    <xf borderId="42" fillId="0" fontId="4" numFmtId="0" xfId="0" applyAlignment="1" applyBorder="1" applyFont="1">
      <alignment vertical="center"/>
    </xf>
    <xf borderId="43" fillId="0" fontId="12" numFmtId="0" xfId="0" applyAlignment="1" applyBorder="1" applyFont="1">
      <alignment shrinkToFit="0" vertical="center" wrapText="1"/>
    </xf>
    <xf borderId="44" fillId="0" fontId="4" numFmtId="0" xfId="0" applyAlignment="1" applyBorder="1" applyFont="1">
      <alignment vertical="center"/>
    </xf>
    <xf borderId="45" fillId="0" fontId="4" numFmtId="0" xfId="0" applyAlignment="1" applyBorder="1" applyFont="1">
      <alignment vertical="center"/>
    </xf>
    <xf borderId="46" fillId="15" fontId="12" numFmtId="0" xfId="0" applyAlignment="1" applyBorder="1" applyFill="1" applyFont="1">
      <alignment horizontal="center" vertical="center"/>
    </xf>
    <xf borderId="47" fillId="15" fontId="47" numFmtId="0" xfId="0" applyAlignment="1" applyBorder="1" applyFont="1">
      <alignment horizontal="center" vertical="center"/>
    </xf>
    <xf borderId="48" fillId="15" fontId="48" numFmtId="165" xfId="0" applyAlignment="1" applyBorder="1" applyFont="1" applyNumberFormat="1">
      <alignment horizontal="center" shrinkToFit="0" vertical="center" wrapText="1"/>
    </xf>
    <xf borderId="48" fillId="16" fontId="46" numFmtId="1" xfId="0" applyAlignment="1" applyBorder="1" applyFill="1" applyFont="1" applyNumberFormat="1">
      <alignment horizontal="center" readingOrder="0" vertical="center"/>
    </xf>
    <xf borderId="48" fillId="15" fontId="46" numFmtId="1" xfId="0" applyAlignment="1" applyBorder="1" applyFont="1" applyNumberFormat="1">
      <alignment horizontal="center" vertical="center"/>
    </xf>
    <xf borderId="48" fillId="17" fontId="49" numFmtId="1" xfId="0" applyAlignment="1" applyBorder="1" applyFill="1" applyFont="1" applyNumberFormat="1">
      <alignment horizontal="center" vertical="center"/>
    </xf>
    <xf borderId="48" fillId="18" fontId="45" numFmtId="1" xfId="0" applyAlignment="1" applyBorder="1" applyFill="1" applyFont="1" applyNumberFormat="1">
      <alignment horizontal="center" vertical="center"/>
    </xf>
    <xf borderId="49" fillId="18" fontId="45" numFmtId="1" xfId="0" applyAlignment="1" applyBorder="1" applyFont="1" applyNumberFormat="1">
      <alignment horizontal="center" vertical="center"/>
    </xf>
    <xf borderId="48" fillId="17" fontId="50" numFmtId="1" xfId="0" applyAlignment="1" applyBorder="1" applyFont="1" applyNumberFormat="1">
      <alignment horizontal="center" vertical="center"/>
    </xf>
    <xf borderId="48" fillId="17" fontId="51" numFmtId="1" xfId="0" applyAlignment="1" applyBorder="1" applyFont="1" applyNumberFormat="1">
      <alignment horizontal="center" vertical="center"/>
    </xf>
    <xf borderId="48" fillId="15" fontId="52" numFmtId="1" xfId="0" applyAlignment="1" applyBorder="1" applyFont="1" applyNumberFormat="1">
      <alignment horizontal="center" vertical="center"/>
    </xf>
    <xf borderId="50" fillId="15" fontId="53" numFmtId="164" xfId="0" applyAlignment="1" applyBorder="1" applyFont="1" applyNumberFormat="1">
      <alignment horizontal="center" vertical="center"/>
    </xf>
    <xf borderId="0" fillId="0" fontId="54" numFmtId="0" xfId="0" applyAlignment="1" applyFont="1">
      <alignment vertical="bottom"/>
    </xf>
    <xf borderId="0" fillId="0" fontId="35" numFmtId="0" xfId="0" applyAlignment="1" applyFont="1">
      <alignment vertical="bottom"/>
    </xf>
    <xf borderId="51" fillId="15" fontId="47" numFmtId="0" xfId="0" applyAlignment="1" applyBorder="1" applyFont="1">
      <alignment horizontal="center" vertical="center"/>
    </xf>
    <xf borderId="49" fillId="15" fontId="48" numFmtId="165" xfId="0" applyAlignment="1" applyBorder="1" applyFont="1" applyNumberFormat="1">
      <alignment horizontal="center" shrinkToFit="0" vertical="center" wrapText="1"/>
    </xf>
    <xf borderId="49" fillId="16" fontId="46" numFmtId="1" xfId="0" applyAlignment="1" applyBorder="1" applyFont="1" applyNumberFormat="1">
      <alignment horizontal="center" vertical="center"/>
    </xf>
    <xf borderId="49" fillId="15" fontId="46" numFmtId="1" xfId="0" applyAlignment="1" applyBorder="1" applyFont="1" applyNumberFormat="1">
      <alignment horizontal="center" vertical="center"/>
    </xf>
    <xf borderId="49" fillId="17" fontId="49" numFmtId="1" xfId="0" applyAlignment="1" applyBorder="1" applyFont="1" applyNumberFormat="1">
      <alignment horizontal="center" vertical="center"/>
    </xf>
    <xf borderId="49" fillId="17" fontId="50" numFmtId="1" xfId="0" applyAlignment="1" applyBorder="1" applyFont="1" applyNumberFormat="1">
      <alignment horizontal="center" vertical="center"/>
    </xf>
    <xf borderId="49" fillId="17" fontId="51" numFmtId="1" xfId="0" applyAlignment="1" applyBorder="1" applyFont="1" applyNumberFormat="1">
      <alignment horizontal="center" vertical="center"/>
    </xf>
    <xf borderId="49" fillId="15" fontId="52" numFmtId="1" xfId="0" applyAlignment="1" applyBorder="1" applyFont="1" applyNumberFormat="1">
      <alignment horizontal="center" vertical="center"/>
    </xf>
    <xf borderId="52" fillId="15" fontId="53" numFmtId="164" xfId="0" applyAlignment="1" applyBorder="1" applyFont="1" applyNumberFormat="1">
      <alignment horizontal="center" vertical="center"/>
    </xf>
    <xf borderId="53" fillId="13" fontId="35" numFmtId="0" xfId="0" applyAlignment="1" applyBorder="1" applyFont="1">
      <alignment vertical="bottom"/>
    </xf>
    <xf borderId="54" fillId="13" fontId="35" numFmtId="0" xfId="0" applyAlignment="1" applyBorder="1" applyFont="1">
      <alignment vertical="bottom"/>
    </xf>
    <xf borderId="54" fillId="13" fontId="35" numFmtId="167" xfId="0" applyAlignment="1" applyBorder="1" applyFont="1" applyNumberFormat="1">
      <alignment vertical="bottom"/>
    </xf>
    <xf borderId="54" fillId="13" fontId="35" numFmtId="165" xfId="0" applyAlignment="1" applyBorder="1" applyFont="1" applyNumberFormat="1">
      <alignment vertical="bottom"/>
    </xf>
    <xf borderId="55" fillId="13" fontId="35" numFmtId="0" xfId="0" applyAlignment="1" applyBorder="1" applyFont="1">
      <alignment vertical="bottom"/>
    </xf>
    <xf borderId="49" fillId="16" fontId="46" numFmtId="1" xfId="0" applyAlignment="1" applyBorder="1" applyFont="1" applyNumberFormat="1">
      <alignment horizontal="center" readingOrder="0" vertical="center"/>
    </xf>
    <xf borderId="56" fillId="13" fontId="35" numFmtId="0" xfId="0" applyAlignment="1" applyBorder="1" applyFont="1">
      <alignment vertical="bottom"/>
    </xf>
    <xf borderId="9" fillId="13" fontId="35" numFmtId="0" xfId="0" applyAlignment="1" applyBorder="1" applyFont="1">
      <alignment horizontal="center" vertical="center"/>
    </xf>
    <xf borderId="57" fillId="13" fontId="35" numFmtId="0" xfId="0" applyAlignment="1" applyBorder="1" applyFont="1">
      <alignment vertical="bottom"/>
    </xf>
    <xf borderId="9" fillId="13" fontId="35" numFmtId="165" xfId="0" applyAlignment="1" applyBorder="1" applyFont="1" applyNumberFormat="1">
      <alignment vertical="bottom"/>
    </xf>
    <xf borderId="9" fillId="13" fontId="55" numFmtId="0" xfId="0" applyAlignment="1" applyBorder="1" applyFont="1">
      <alignment vertical="bottom"/>
    </xf>
    <xf borderId="9" fillId="13" fontId="35" numFmtId="167" xfId="0" applyAlignment="1" applyBorder="1" applyFont="1" applyNumberFormat="1">
      <alignment vertical="bottom"/>
    </xf>
    <xf borderId="52" fillId="15" fontId="53" numFmtId="1" xfId="0" applyAlignment="1" applyBorder="1" applyFont="1" applyNumberFormat="1">
      <alignment horizontal="center" vertical="center"/>
    </xf>
    <xf borderId="58" fillId="15" fontId="47" numFmtId="0" xfId="0" applyAlignment="1" applyBorder="1" applyFont="1">
      <alignment horizontal="center" vertical="center"/>
    </xf>
    <xf borderId="59" fillId="15" fontId="52" numFmtId="1" xfId="0" applyAlignment="1" applyBorder="1" applyFont="1" applyNumberFormat="1">
      <alignment horizontal="center" vertical="center"/>
    </xf>
    <xf borderId="60" fillId="15" fontId="53" numFmtId="1" xfId="0" applyAlignment="1" applyBorder="1" applyFont="1" applyNumberFormat="1">
      <alignment horizontal="center" vertical="center"/>
    </xf>
    <xf borderId="0" fillId="0" fontId="30" numFmtId="0" xfId="0" applyAlignment="1" applyFont="1">
      <alignment shrinkToFit="0" vertical="bottom" wrapText="1"/>
    </xf>
    <xf borderId="0" fillId="0" fontId="56" numFmtId="0" xfId="0" applyAlignment="1" applyFont="1">
      <alignment shrinkToFit="0" vertical="bottom" wrapText="1"/>
    </xf>
    <xf borderId="0" fillId="0" fontId="57" numFmtId="0" xfId="0" applyAlignment="1" applyFont="1">
      <alignment shrinkToFit="0" vertical="bottom" wrapText="1"/>
    </xf>
    <xf borderId="9" fillId="13" fontId="57" numFmtId="0" xfId="0" applyAlignment="1" applyBorder="1" applyFont="1">
      <alignment shrinkToFit="0" vertical="bottom" wrapText="1"/>
    </xf>
    <xf borderId="56" fillId="13" fontId="58" numFmtId="0" xfId="0" applyAlignment="1" applyBorder="1" applyFont="1">
      <alignment vertical="bottom"/>
    </xf>
    <xf borderId="9" fillId="13" fontId="58" numFmtId="0" xfId="0" applyAlignment="1" applyBorder="1" applyFont="1">
      <alignment vertical="bottom"/>
    </xf>
    <xf borderId="9" fillId="13" fontId="58" numFmtId="1" xfId="0" applyAlignment="1" applyBorder="1" applyFont="1" applyNumberFormat="1">
      <alignment vertical="bottom"/>
    </xf>
    <xf borderId="9" fillId="13" fontId="58" numFmtId="167" xfId="0" applyAlignment="1" applyBorder="1" applyFont="1" applyNumberFormat="1">
      <alignment vertical="bottom"/>
    </xf>
    <xf borderId="9" fillId="13" fontId="59" numFmtId="0" xfId="0" applyAlignment="1" applyBorder="1" applyFont="1">
      <alignment vertical="bottom"/>
    </xf>
    <xf borderId="35" fillId="9" fontId="12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49" fillId="16" fontId="60" numFmtId="1" xfId="0" applyAlignment="1" applyBorder="1" applyFont="1" applyNumberFormat="1">
      <alignment horizontal="center" vertical="center"/>
    </xf>
    <xf borderId="0" fillId="0" fontId="61" numFmtId="0" xfId="0" applyAlignment="1" applyFont="1">
      <alignment vertical="center"/>
    </xf>
    <xf borderId="0" fillId="0" fontId="62" numFmtId="0" xfId="0" applyAlignment="1" applyFont="1">
      <alignment shrinkToFit="0" vertical="bottom" wrapText="1"/>
    </xf>
    <xf borderId="9" fillId="19" fontId="1" numFmtId="0" xfId="0" applyAlignment="1" applyBorder="1" applyFill="1" applyFont="1">
      <alignment vertical="bottom"/>
    </xf>
    <xf borderId="0" fillId="0" fontId="1" numFmtId="165" xfId="0" applyAlignment="1" applyFont="1" applyNumberFormat="1">
      <alignment vertical="bottom"/>
    </xf>
    <xf borderId="9" fillId="19" fontId="63" numFmtId="0" xfId="0" applyAlignment="1" applyBorder="1" applyFont="1">
      <alignment horizontal="center" vertical="center"/>
    </xf>
    <xf borderId="9" fillId="19" fontId="64" numFmtId="0" xfId="0" applyAlignment="1" applyBorder="1" applyFont="1">
      <alignment vertical="center"/>
    </xf>
    <xf borderId="61" fillId="0" fontId="65" numFmtId="0" xfId="0" applyAlignment="1" applyBorder="1" applyFont="1">
      <alignment horizontal="center" vertical="center"/>
    </xf>
    <xf borderId="62" fillId="0" fontId="4" numFmtId="0" xfId="0" applyAlignment="1" applyBorder="1" applyFont="1">
      <alignment vertical="center"/>
    </xf>
    <xf borderId="63" fillId="0" fontId="4" numFmtId="0" xfId="0" applyAlignment="1" applyBorder="1" applyFont="1">
      <alignment vertical="center"/>
    </xf>
    <xf borderId="9" fillId="19" fontId="66" numFmtId="0" xfId="0" applyAlignment="1" applyBorder="1" applyFont="1">
      <alignment vertical="bottom"/>
    </xf>
    <xf borderId="9" fillId="19" fontId="67" numFmtId="0" xfId="0" applyAlignment="1" applyBorder="1" applyFont="1">
      <alignment horizontal="center" vertical="center"/>
    </xf>
    <xf borderId="64" fillId="0" fontId="22" numFmtId="0" xfId="0" applyAlignment="1" applyBorder="1" applyFont="1">
      <alignment horizontal="right" vertical="center"/>
    </xf>
    <xf borderId="65" fillId="0" fontId="4" numFmtId="0" xfId="0" applyAlignment="1" applyBorder="1" applyFont="1">
      <alignment vertical="center"/>
    </xf>
    <xf borderId="64" fillId="0" fontId="68" numFmtId="49" xfId="0" applyAlignment="1" applyBorder="1" applyFont="1" applyNumberFormat="1">
      <alignment horizontal="left" readingOrder="0" vertical="center"/>
    </xf>
    <xf borderId="66" fillId="0" fontId="4" numFmtId="0" xfId="0" applyAlignment="1" applyBorder="1" applyFont="1">
      <alignment vertical="center"/>
    </xf>
    <xf borderId="9" fillId="19" fontId="1" numFmtId="0" xfId="0" applyAlignment="1" applyBorder="1" applyFont="1">
      <alignment horizontal="center" vertical="center"/>
    </xf>
    <xf borderId="31" fillId="19" fontId="69" numFmtId="0" xfId="0" applyAlignment="1" applyBorder="1" applyFont="1">
      <alignment horizontal="center" vertical="center"/>
    </xf>
    <xf borderId="9" fillId="19" fontId="22" numFmtId="0" xfId="0" applyAlignment="1" applyBorder="1" applyFont="1">
      <alignment horizontal="right" vertical="center"/>
    </xf>
    <xf borderId="9" fillId="19" fontId="22" numFmtId="49" xfId="0" applyAlignment="1" applyBorder="1" applyFont="1" applyNumberFormat="1">
      <alignment horizontal="left" vertical="center"/>
    </xf>
    <xf borderId="9" fillId="19" fontId="69" numFmtId="0" xfId="0" applyAlignment="1" applyBorder="1" applyFont="1">
      <alignment horizontal="center" vertical="center"/>
    </xf>
    <xf borderId="64" fillId="0" fontId="22" numFmtId="0" xfId="0" applyAlignment="1" applyBorder="1" applyFont="1">
      <alignment horizontal="left" readingOrder="0" vertical="center"/>
    </xf>
    <xf borderId="9" fillId="19" fontId="22" numFmtId="0" xfId="0" applyAlignment="1" applyBorder="1" applyFont="1">
      <alignment horizontal="left" vertical="center"/>
    </xf>
    <xf borderId="64" fillId="0" fontId="40" numFmtId="0" xfId="0" applyAlignment="1" applyBorder="1" applyFont="1">
      <alignment horizontal="right" readingOrder="0" vertical="center"/>
    </xf>
    <xf borderId="64" fillId="0" fontId="40" numFmtId="0" xfId="0" applyAlignment="1" applyBorder="1" applyFont="1">
      <alignment horizontal="right" vertical="center"/>
    </xf>
    <xf borderId="64" fillId="0" fontId="22" numFmtId="168" xfId="0" applyAlignment="1" applyBorder="1" applyFont="1" applyNumberFormat="1">
      <alignment horizontal="left" vertical="center"/>
    </xf>
    <xf borderId="9" fillId="19" fontId="70" numFmtId="0" xfId="0" applyAlignment="1" applyBorder="1" applyFont="1">
      <alignment vertical="center"/>
    </xf>
    <xf borderId="9" fillId="19" fontId="40" numFmtId="0" xfId="0" applyAlignment="1" applyBorder="1" applyFont="1">
      <alignment horizontal="right" vertical="center"/>
    </xf>
    <xf borderId="9" fillId="19" fontId="40" numFmtId="0" xfId="0" applyAlignment="1" applyBorder="1" applyFont="1">
      <alignment horizontal="left" vertical="center"/>
    </xf>
    <xf borderId="9" fillId="19" fontId="22" numFmtId="168" xfId="0" applyAlignment="1" applyBorder="1" applyFont="1" applyNumberFormat="1">
      <alignment horizontal="left" vertical="center"/>
    </xf>
    <xf borderId="64" fillId="0" fontId="22" numFmtId="3" xfId="0" applyAlignment="1" applyBorder="1" applyFont="1" applyNumberFormat="1">
      <alignment horizontal="left" readingOrder="0" vertical="center"/>
    </xf>
    <xf borderId="64" fillId="0" fontId="22" numFmtId="0" xfId="0" applyAlignment="1" applyBorder="1" applyFont="1">
      <alignment horizontal="left" vertical="center"/>
    </xf>
    <xf borderId="65" fillId="0" fontId="22" numFmtId="0" xfId="0" applyAlignment="1" applyBorder="1" applyFont="1">
      <alignment horizontal="left" vertical="center"/>
    </xf>
    <xf borderId="31" fillId="19" fontId="71" numFmtId="0" xfId="0" applyAlignment="1" applyBorder="1" applyFont="1">
      <alignment horizontal="center" vertical="center"/>
    </xf>
    <xf borderId="9" fillId="19" fontId="40" numFmtId="3" xfId="0" applyAlignment="1" applyBorder="1" applyFont="1" applyNumberFormat="1">
      <alignment horizontal="left" vertical="center"/>
    </xf>
    <xf borderId="9" fillId="19" fontId="71" numFmtId="0" xfId="0" applyAlignment="1" applyBorder="1" applyFont="1">
      <alignment horizontal="center" vertical="center"/>
    </xf>
    <xf borderId="64" fillId="0" fontId="40" numFmtId="0" xfId="0" applyAlignment="1" applyBorder="1" applyFont="1">
      <alignment horizontal="left" readingOrder="0" vertical="center"/>
    </xf>
    <xf borderId="64" fillId="0" fontId="40" numFmtId="1" xfId="0" applyAlignment="1" applyBorder="1" applyFont="1" applyNumberFormat="1">
      <alignment horizontal="left" vertical="center"/>
    </xf>
    <xf borderId="64" fillId="0" fontId="22" numFmtId="1" xfId="0" applyAlignment="1" applyBorder="1" applyFont="1" applyNumberFormat="1">
      <alignment horizontal="left" readingOrder="0" vertical="center"/>
    </xf>
    <xf borderId="64" fillId="0" fontId="12" numFmtId="0" xfId="0" applyAlignment="1" applyBorder="1" applyFont="1">
      <alignment horizontal="right" vertical="center"/>
    </xf>
    <xf borderId="67" fillId="0" fontId="72" numFmtId="0" xfId="0" applyAlignment="1" applyBorder="1" applyFont="1">
      <alignment horizontal="center" vertical="center"/>
    </xf>
    <xf borderId="68" fillId="0" fontId="4" numFmtId="0" xfId="0" applyAlignment="1" applyBorder="1" applyFont="1">
      <alignment vertical="center"/>
    </xf>
    <xf borderId="69" fillId="0" fontId="4" numFmtId="0" xfId="0" applyAlignment="1" applyBorder="1" applyFont="1">
      <alignment vertical="center"/>
    </xf>
    <xf borderId="9" fillId="19" fontId="13" numFmtId="0" xfId="0" applyAlignment="1" applyBorder="1" applyFont="1">
      <alignment vertical="bottom"/>
    </xf>
    <xf borderId="0" fillId="19" fontId="1" numFmtId="0" xfId="0" applyAlignment="1" applyFont="1">
      <alignment vertical="bottom"/>
    </xf>
    <xf borderId="9" fillId="19" fontId="73" numFmtId="0" xfId="0" applyAlignment="1" applyBorder="1" applyFont="1">
      <alignment vertical="center"/>
    </xf>
    <xf borderId="10" fillId="0" fontId="74" numFmtId="0" xfId="0" applyAlignment="1" applyBorder="1" applyFont="1">
      <alignment horizontal="right" vertical="center"/>
    </xf>
    <xf borderId="70" fillId="0" fontId="4" numFmtId="0" xfId="0" applyAlignment="1" applyBorder="1" applyFont="1">
      <alignment vertical="center"/>
    </xf>
    <xf borderId="71" fillId="0" fontId="75" numFmtId="0" xfId="0" applyAlignment="1" applyBorder="1" applyFont="1">
      <alignment horizontal="center" readingOrder="0" vertical="center"/>
    </xf>
    <xf borderId="72" fillId="0" fontId="74" numFmtId="0" xfId="0" applyAlignment="1" applyBorder="1" applyFont="1">
      <alignment horizontal="right" vertical="center"/>
    </xf>
    <xf borderId="73" fillId="0" fontId="4" numFmtId="0" xfId="0" applyAlignment="1" applyBorder="1" applyFont="1">
      <alignment vertical="center"/>
    </xf>
    <xf borderId="74" fillId="0" fontId="4" numFmtId="0" xfId="0" applyAlignment="1" applyBorder="1" applyFont="1">
      <alignment vertical="center"/>
    </xf>
    <xf borderId="71" fillId="0" fontId="22" numFmtId="0" xfId="0" applyAlignment="1" applyBorder="1" applyFont="1">
      <alignment horizontal="center" vertical="center"/>
    </xf>
    <xf borderId="9" fillId="19" fontId="76" numFmtId="0" xfId="0" applyAlignment="1" applyBorder="1" applyFont="1">
      <alignment shrinkToFit="0" vertical="center" wrapText="1"/>
    </xf>
    <xf borderId="9" fillId="19" fontId="7" numFmtId="0" xfId="0" applyAlignment="1" applyBorder="1" applyFont="1">
      <alignment horizontal="right" vertical="center"/>
    </xf>
    <xf borderId="9" fillId="19" fontId="75" numFmtId="0" xfId="0" applyAlignment="1" applyBorder="1" applyFont="1">
      <alignment horizontal="center" vertical="center"/>
    </xf>
    <xf borderId="75" fillId="0" fontId="22" numFmtId="0" xfId="0" applyAlignment="1" applyBorder="1" applyFont="1">
      <alignment horizontal="center" vertical="center"/>
    </xf>
    <xf borderId="76" fillId="0" fontId="4" numFmtId="0" xfId="0" applyAlignment="1" applyBorder="1" applyFont="1">
      <alignment vertical="center"/>
    </xf>
    <xf borderId="77" fillId="0" fontId="4" numFmtId="0" xfId="0" applyAlignment="1" applyBorder="1" applyFont="1">
      <alignment vertical="center"/>
    </xf>
    <xf borderId="71" fillId="0" fontId="28" numFmtId="0" xfId="0" applyAlignment="1" applyBorder="1" applyFont="1">
      <alignment horizontal="center" vertical="center"/>
    </xf>
    <xf borderId="9" fillId="19" fontId="12" numFmtId="0" xfId="0" applyAlignment="1" applyBorder="1" applyFont="1">
      <alignment horizontal="center" vertical="center"/>
    </xf>
    <xf borderId="78" fillId="0" fontId="4" numFmtId="0" xfId="0" applyAlignment="1" applyBorder="1" applyFont="1">
      <alignment vertical="center"/>
    </xf>
    <xf borderId="79" fillId="0" fontId="4" numFmtId="0" xfId="0" applyAlignment="1" applyBorder="1" applyFont="1">
      <alignment vertical="center"/>
    </xf>
    <xf borderId="80" fillId="0" fontId="4" numFmtId="0" xfId="0" applyAlignment="1" applyBorder="1" applyFont="1">
      <alignment vertical="center"/>
    </xf>
    <xf borderId="74" fillId="0" fontId="77" numFmtId="0" xfId="0" applyAlignment="1" applyBorder="1" applyFont="1">
      <alignment horizontal="center" readingOrder="0" vertical="center"/>
    </xf>
    <xf borderId="9" fillId="19" fontId="28" numFmtId="0" xfId="0" applyAlignment="1" applyBorder="1" applyFont="1">
      <alignment horizontal="center" vertical="center"/>
    </xf>
    <xf borderId="0" fillId="0" fontId="78" numFmtId="0" xfId="0" applyAlignment="1" applyFont="1">
      <alignment horizontal="center" vertical="bottom"/>
    </xf>
    <xf borderId="71" fillId="0" fontId="66" numFmtId="1" xfId="0" applyAlignment="1" applyBorder="1" applyFont="1" applyNumberFormat="1">
      <alignment horizontal="center" readingOrder="0" vertical="center"/>
    </xf>
    <xf borderId="75" fillId="0" fontId="79" numFmtId="0" xfId="0" applyAlignment="1" applyBorder="1" applyFont="1">
      <alignment horizontal="right" shrinkToFit="0" vertical="center" wrapText="1"/>
    </xf>
    <xf borderId="81" fillId="0" fontId="80" numFmtId="166" xfId="0" applyAlignment="1" applyBorder="1" applyFont="1" applyNumberFormat="1">
      <alignment horizontal="center" vertical="center"/>
    </xf>
    <xf borderId="82" fillId="0" fontId="4" numFmtId="0" xfId="0" applyAlignment="1" applyBorder="1" applyFont="1">
      <alignment vertical="center"/>
    </xf>
    <xf borderId="83" fillId="0" fontId="4" numFmtId="0" xfId="0" applyAlignment="1" applyBorder="1" applyFont="1">
      <alignment vertical="center"/>
    </xf>
    <xf borderId="84" fillId="0" fontId="4" numFmtId="0" xfId="0" applyAlignment="1" applyBorder="1" applyFont="1">
      <alignment vertical="center"/>
    </xf>
    <xf borderId="85" fillId="0" fontId="75" numFmtId="0" xfId="0" applyAlignment="1" applyBorder="1" applyFont="1">
      <alignment horizontal="center" vertical="center"/>
    </xf>
    <xf borderId="9" fillId="19" fontId="81" numFmtId="0" xfId="0" applyAlignment="1" applyBorder="1" applyFont="1">
      <alignment vertical="bottom"/>
    </xf>
    <xf borderId="86" fillId="0" fontId="4" numFmtId="0" xfId="0" applyAlignment="1" applyBorder="1" applyFont="1">
      <alignment vertical="center"/>
    </xf>
    <xf borderId="9" fillId="19" fontId="22" numFmtId="0" xfId="0" applyAlignment="1" applyBorder="1" applyFont="1">
      <alignment horizontal="center" vertical="center"/>
    </xf>
    <xf borderId="71" fillId="0" fontId="82" numFmtId="0" xfId="0" applyAlignment="1" applyBorder="1" applyFont="1">
      <alignment horizontal="center" vertical="center"/>
    </xf>
    <xf borderId="72" fillId="0" fontId="83" numFmtId="0" xfId="0" applyAlignment="1" applyBorder="1" applyFont="1">
      <alignment horizontal="right" vertical="center"/>
    </xf>
    <xf borderId="75" fillId="0" fontId="84" numFmtId="0" xfId="0" applyAlignment="1" applyBorder="1" applyFont="1">
      <alignment horizontal="right" shrinkToFit="0" vertical="center" wrapText="1"/>
    </xf>
    <xf borderId="81" fillId="0" fontId="80" numFmtId="1" xfId="0" applyAlignment="1" applyBorder="1" applyFont="1" applyNumberFormat="1">
      <alignment horizontal="center" readingOrder="0" vertical="center"/>
    </xf>
    <xf borderId="0" fillId="0" fontId="15" numFmtId="0" xfId="0" applyAlignment="1" applyFont="1">
      <alignment shrinkToFit="0" vertical="center" wrapText="1"/>
    </xf>
    <xf borderId="9" fillId="19" fontId="75" numFmtId="0" xfId="0" applyAlignment="1" applyBorder="1" applyFont="1">
      <alignment horizontal="right" vertical="center"/>
    </xf>
    <xf borderId="9" fillId="19" fontId="3" numFmtId="0" xfId="0" applyAlignment="1" applyBorder="1" applyFont="1">
      <alignment horizontal="right" vertical="center"/>
    </xf>
    <xf borderId="10" fillId="0" fontId="85" numFmtId="0" xfId="0" applyAlignment="1" applyBorder="1" applyFont="1">
      <alignment horizontal="right" vertical="center"/>
    </xf>
    <xf borderId="71" fillId="0" fontId="75" numFmtId="0" xfId="0" applyAlignment="1" applyBorder="1" applyFont="1">
      <alignment horizontal="center" vertical="center"/>
    </xf>
    <xf borderId="85" fillId="0" fontId="22" numFmtId="0" xfId="0" applyAlignment="1" applyBorder="1" applyFont="1">
      <alignment horizontal="center" vertical="center"/>
    </xf>
    <xf borderId="9" fillId="19" fontId="85" numFmtId="0" xfId="0" applyAlignment="1" applyBorder="1" applyFont="1">
      <alignment vertical="center"/>
    </xf>
    <xf borderId="72" fillId="10" fontId="83" numFmtId="0" xfId="0" applyAlignment="1" applyBorder="1" applyFont="1">
      <alignment horizontal="right" shrinkToFit="0" vertical="center" wrapText="1"/>
    </xf>
    <xf borderId="71" fillId="20" fontId="86" numFmtId="0" xfId="0" applyAlignment="1" applyBorder="1" applyFill="1" applyFont="1">
      <alignment horizontal="center" readingOrder="0" shrinkToFit="0" vertical="center" wrapText="1"/>
    </xf>
    <xf borderId="9" fillId="19" fontId="55" numFmtId="0" xfId="0" applyAlignment="1" applyBorder="1" applyFont="1">
      <alignment shrinkToFit="0" vertical="center" wrapText="1"/>
    </xf>
    <xf borderId="9" fillId="19" fontId="87" numFmtId="165" xfId="0" applyAlignment="1" applyBorder="1" applyFont="1" applyNumberFormat="1">
      <alignment horizontal="center" vertical="center"/>
    </xf>
    <xf borderId="31" fillId="19" fontId="88" numFmtId="0" xfId="0" applyAlignment="1" applyBorder="1" applyFont="1">
      <alignment horizontal="center" shrinkToFit="0" vertical="center" wrapText="1"/>
    </xf>
    <xf borderId="0" fillId="0" fontId="89" numFmtId="0" xfId="0" applyAlignment="1" applyFont="1">
      <alignment horizontal="center" shrinkToFit="0" vertical="center" wrapText="1"/>
    </xf>
    <xf borderId="9" fillId="19" fontId="47" numFmtId="0" xfId="0" applyAlignment="1" applyBorder="1" applyFont="1">
      <alignment horizontal="center" shrinkToFit="0" vertical="center" wrapText="1"/>
    </xf>
    <xf borderId="9" fillId="19" fontId="87" numFmtId="1" xfId="0" applyAlignment="1" applyBorder="1" applyFont="1" applyNumberFormat="1">
      <alignment horizontal="center" vertical="center"/>
    </xf>
    <xf borderId="9" fillId="19" fontId="47" numFmtId="0" xfId="0" applyAlignment="1" applyBorder="1" applyFont="1">
      <alignment shrinkToFit="0" vertical="center" wrapText="1"/>
    </xf>
    <xf borderId="9" fillId="19" fontId="1" numFmtId="0" xfId="0" applyAlignment="1" applyBorder="1" applyFont="1">
      <alignment vertical="center"/>
    </xf>
    <xf borderId="9" fillId="19" fontId="90" numFmtId="0" xfId="0" applyAlignment="1" applyBorder="1" applyFont="1">
      <alignment shrinkToFit="0" vertical="center" wrapText="1"/>
    </xf>
    <xf borderId="9" fillId="19" fontId="91" numFmtId="0" xfId="0" applyAlignment="1" applyBorder="1" applyFont="1">
      <alignment shrinkToFit="0" vertical="center" wrapText="1"/>
    </xf>
    <xf borderId="10" fillId="0" fontId="92" numFmtId="0" xfId="0" applyAlignment="1" applyBorder="1" applyFont="1">
      <alignment horizontal="right" vertical="center"/>
    </xf>
    <xf borderId="10" fillId="0" fontId="80" numFmtId="165" xfId="0" applyAlignment="1" applyBorder="1" applyFont="1" applyNumberFormat="1">
      <alignment horizontal="center" vertical="center"/>
    </xf>
    <xf borderId="85" fillId="0" fontId="93" numFmtId="0" xfId="0" applyAlignment="1" applyBorder="1" applyFont="1">
      <alignment horizontal="center" readingOrder="0" vertical="center"/>
    </xf>
    <xf borderId="85" fillId="0" fontId="80" numFmtId="165" xfId="0" applyAlignment="1" applyBorder="1" applyFont="1" applyNumberFormat="1">
      <alignment horizontal="center" vertical="center"/>
    </xf>
    <xf borderId="9" fillId="19" fontId="94" numFmtId="0" xfId="0" applyAlignment="1" applyBorder="1" applyFont="1">
      <alignment vertical="center"/>
    </xf>
    <xf borderId="31" fillId="19" fontId="95" numFmtId="0" xfId="0" applyAlignment="1" applyBorder="1" applyFont="1">
      <alignment horizontal="center" vertical="center"/>
    </xf>
    <xf borderId="0" fillId="0" fontId="96" numFmtId="0" xfId="0" applyAlignment="1" applyFont="1">
      <alignment vertical="center"/>
    </xf>
    <xf borderId="9" fillId="19" fontId="97" numFmtId="0" xfId="0" applyAlignment="1" applyBorder="1" applyFont="1">
      <alignment horizontal="center" vertical="center"/>
    </xf>
    <xf borderId="9" fillId="19" fontId="43" numFmtId="0" xfId="0" applyAlignment="1" applyBorder="1" applyFont="1">
      <alignment horizontal="center" vertical="center"/>
    </xf>
    <xf borderId="18" fillId="19" fontId="98" numFmtId="0" xfId="0" applyAlignment="1" applyBorder="1" applyFont="1">
      <alignment horizontal="center" shrinkToFit="0" vertical="center" wrapText="1"/>
    </xf>
    <xf borderId="85" fillId="0" fontId="12" numFmtId="0" xfId="0" applyAlignment="1" applyBorder="1" applyFont="1">
      <alignment horizontal="center" shrinkToFit="0" vertical="center" wrapText="1"/>
    </xf>
    <xf borderId="9" fillId="19" fontId="86" numFmtId="0" xfId="0" applyAlignment="1" applyBorder="1" applyFont="1">
      <alignment horizontal="right" vertical="center"/>
    </xf>
    <xf borderId="0" fillId="0" fontId="99" numFmtId="0" xfId="0" applyAlignment="1" applyFont="1">
      <alignment shrinkToFit="0" vertical="center" wrapText="1"/>
    </xf>
    <xf borderId="0" fillId="0" fontId="99" numFmtId="0" xfId="0" applyAlignment="1" applyFont="1">
      <alignment horizontal="center" shrinkToFit="0" vertical="center" wrapText="1"/>
    </xf>
    <xf borderId="0" fillId="0" fontId="13" numFmtId="0" xfId="0" applyAlignment="1" applyFont="1">
      <alignment horizontal="center" shrinkToFit="0" vertical="center" wrapText="1"/>
    </xf>
    <xf borderId="85" fillId="8" fontId="47" numFmtId="1" xfId="0" applyAlignment="1" applyBorder="1" applyFont="1" applyNumberFormat="1">
      <alignment horizontal="center" vertical="center"/>
    </xf>
    <xf borderId="9" fillId="19" fontId="100" numFmtId="0" xfId="0" applyAlignment="1" applyBorder="1" applyFont="1">
      <alignment horizontal="left" vertical="center"/>
    </xf>
    <xf borderId="85" fillId="8" fontId="47" numFmtId="1" xfId="0" applyAlignment="1" applyBorder="1" applyFont="1" applyNumberFormat="1">
      <alignment horizontal="center" readingOrder="0" vertical="center"/>
    </xf>
    <xf borderId="0" fillId="0" fontId="47" numFmtId="1" xfId="0" applyAlignment="1" applyFont="1" applyNumberFormat="1">
      <alignment horizontal="center" vertical="center"/>
    </xf>
    <xf borderId="0" fillId="0" fontId="47" numFmtId="0" xfId="0" applyAlignment="1" applyFont="1">
      <alignment horizontal="center" shrinkToFit="0" vertical="center" wrapText="1"/>
    </xf>
    <xf borderId="0" fillId="0" fontId="44" numFmtId="2" xfId="0" applyAlignment="1" applyFont="1" applyNumberFormat="1">
      <alignment shrinkToFit="0" vertical="center" wrapText="1"/>
    </xf>
    <xf borderId="87" fillId="19" fontId="101" numFmtId="0" xfId="0" applyAlignment="1" applyBorder="1" applyFont="1">
      <alignment horizontal="center" vertical="bottom"/>
    </xf>
    <xf borderId="88" fillId="0" fontId="4" numFmtId="0" xfId="0" applyAlignment="1" applyBorder="1" applyFont="1">
      <alignment vertical="center"/>
    </xf>
    <xf borderId="89" fillId="0" fontId="4" numFmtId="0" xfId="0" applyAlignment="1" applyBorder="1" applyFont="1">
      <alignment vertical="center"/>
    </xf>
    <xf borderId="90" fillId="19" fontId="102" numFmtId="0" xfId="0" applyAlignment="1" applyBorder="1" applyFont="1">
      <alignment vertical="top"/>
    </xf>
    <xf borderId="0" fillId="0" fontId="28" numFmtId="0" xfId="0" applyAlignment="1" applyFont="1">
      <alignment horizontal="center" vertical="center"/>
    </xf>
    <xf borderId="9" fillId="19" fontId="103" numFmtId="0" xfId="0" applyAlignment="1" applyBorder="1" applyFont="1">
      <alignment vertical="top"/>
    </xf>
    <xf borderId="71" fillId="0" fontId="104" numFmtId="0" xfId="0" applyAlignment="1" applyBorder="1" applyFont="1">
      <alignment horizontal="center" shrinkToFit="0" vertical="center" wrapText="1"/>
    </xf>
    <xf borderId="91" fillId="19" fontId="105" numFmtId="0" xfId="0" applyAlignment="1" applyBorder="1" applyFont="1">
      <alignment shrinkToFit="0" vertical="bottom" wrapText="1"/>
    </xf>
    <xf borderId="9" fillId="19" fontId="105" numFmtId="0" xfId="0" applyAlignment="1" applyBorder="1" applyFont="1">
      <alignment shrinkToFit="0" vertical="bottom" wrapText="1"/>
    </xf>
    <xf borderId="92" fillId="8" fontId="106" numFmtId="1" xfId="0" applyAlignment="1" applyBorder="1" applyFont="1" applyNumberFormat="1">
      <alignment horizontal="center" vertical="center"/>
    </xf>
    <xf borderId="9" fillId="19" fontId="107" numFmtId="0" xfId="0" applyAlignment="1" applyBorder="1" applyFont="1">
      <alignment shrinkToFit="0" vertical="center" wrapText="1"/>
    </xf>
    <xf borderId="9" fillId="19" fontId="108" numFmtId="0" xfId="0" applyAlignment="1" applyBorder="1" applyFont="1">
      <alignment shrinkToFit="0" vertical="center" wrapText="1"/>
    </xf>
    <xf borderId="0" fillId="0" fontId="109" numFmtId="0" xfId="0" applyAlignment="1" applyFont="1">
      <alignment horizontal="center" vertical="center"/>
    </xf>
    <xf borderId="9" fillId="19" fontId="110" numFmtId="0" xfId="0" applyAlignment="1" applyBorder="1" applyFont="1">
      <alignment vertical="center"/>
    </xf>
    <xf borderId="9" fillId="19" fontId="111" numFmtId="0" xfId="0" applyAlignment="1" applyBorder="1" applyFont="1">
      <alignment vertical="center"/>
    </xf>
    <xf borderId="31" fillId="19" fontId="112" numFmtId="0" xfId="0" applyAlignment="1" applyBorder="1" applyFont="1">
      <alignment horizontal="center" vertical="center"/>
    </xf>
    <xf borderId="31" fillId="21" fontId="113" numFmtId="0" xfId="0" applyAlignment="1" applyBorder="1" applyFill="1" applyFont="1">
      <alignment horizontal="center" vertical="center"/>
    </xf>
    <xf borderId="9" fillId="21" fontId="1" numFmtId="0" xfId="0" applyAlignment="1" applyBorder="1" applyFont="1">
      <alignment vertical="bottom"/>
    </xf>
    <xf borderId="9" fillId="21" fontId="114" numFmtId="0" xfId="0" applyAlignment="1" applyBorder="1" applyFont="1">
      <alignment vertical="bottom"/>
    </xf>
    <xf borderId="31" fillId="21" fontId="115" numFmtId="0" xfId="0" applyAlignment="1" applyBorder="1" applyFont="1">
      <alignment horizontal="center" vertical="top"/>
    </xf>
    <xf borderId="0" fillId="0" fontId="116" numFmtId="0" xfId="0" applyAlignment="1" applyFont="1">
      <alignment horizontal="center" vertical="center"/>
    </xf>
    <xf borderId="49" fillId="0" fontId="52" numFmtId="2" xfId="0" applyAlignment="1" applyBorder="1" applyFont="1" applyNumberFormat="1">
      <alignment horizontal="left" shrinkToFit="0" vertical="center" wrapText="1"/>
    </xf>
    <xf borderId="11" fillId="0" fontId="75" numFmtId="0" xfId="0" applyAlignment="1" applyBorder="1" applyFont="1">
      <alignment horizontal="center" vertical="center"/>
    </xf>
    <xf borderId="49" fillId="0" fontId="22" numFmtId="0" xfId="0" applyAlignment="1" applyBorder="1" applyFont="1">
      <alignment horizontal="center" vertical="center"/>
    </xf>
    <xf borderId="93" fillId="0" fontId="1" numFmtId="0" xfId="0" applyAlignment="1" applyBorder="1" applyFont="1">
      <alignment horizontal="center" vertical="bottom"/>
    </xf>
    <xf borderId="94" fillId="0" fontId="13" numFmtId="2" xfId="0" applyAlignment="1" applyBorder="1" applyFont="1" applyNumberFormat="1">
      <alignment horizontal="left" vertical="center"/>
    </xf>
    <xf borderId="95" fillId="0" fontId="4" numFmtId="0" xfId="0" applyAlignment="1" applyBorder="1" applyFont="1">
      <alignment vertical="center"/>
    </xf>
    <xf borderId="96" fillId="0" fontId="4" numFmtId="0" xfId="0" applyAlignment="1" applyBorder="1" applyFont="1">
      <alignment vertical="center"/>
    </xf>
    <xf borderId="49" fillId="13" fontId="22" numFmtId="0" xfId="0" applyAlignment="1" applyBorder="1" applyFont="1">
      <alignment horizontal="center" vertical="center"/>
    </xf>
    <xf borderId="93" fillId="0" fontId="1" numFmtId="0" xfId="0" applyAlignment="1" applyBorder="1" applyFont="1">
      <alignment horizontal="center" vertical="center"/>
    </xf>
    <xf borderId="97" fillId="0" fontId="117" numFmtId="2" xfId="0" applyAlignment="1" applyBorder="1" applyFont="1" applyNumberFormat="1">
      <alignment horizontal="left" shrinkToFit="0" vertical="center" wrapText="1"/>
    </xf>
    <xf borderId="98" fillId="0" fontId="4" numFmtId="0" xfId="0" applyAlignment="1" applyBorder="1" applyFont="1">
      <alignment vertical="center"/>
    </xf>
    <xf borderId="93" fillId="0" fontId="4" numFmtId="0" xfId="0" applyAlignment="1" applyBorder="1" applyFont="1">
      <alignment vertical="center"/>
    </xf>
    <xf borderId="94" fillId="0" fontId="13" numFmtId="2" xfId="0" applyAlignment="1" applyBorder="1" applyFont="1" applyNumberFormat="1">
      <alignment horizontal="left" shrinkToFit="0" vertical="center" wrapText="1"/>
    </xf>
    <xf borderId="97" fillId="0" fontId="118" numFmtId="2" xfId="0" applyAlignment="1" applyBorder="1" applyFont="1" applyNumberFormat="1">
      <alignment horizontal="left" shrinkToFit="0" vertical="center" wrapText="1"/>
    </xf>
    <xf borderId="97" fillId="0" fontId="119" numFmtId="2" xfId="0" applyAlignment="1" applyBorder="1" applyFont="1" applyNumberFormat="1">
      <alignment horizontal="left" shrinkToFit="0" vertical="center" wrapText="1"/>
    </xf>
    <xf borderId="99" fillId="0" fontId="13" numFmtId="2" xfId="0" applyAlignment="1" applyBorder="1" applyFont="1" applyNumberFormat="1">
      <alignment horizontal="left" vertical="center"/>
    </xf>
    <xf borderId="100" fillId="0" fontId="4" numFmtId="0" xfId="0" applyAlignment="1" applyBorder="1" applyFont="1">
      <alignment vertical="center"/>
    </xf>
    <xf borderId="101" fillId="0" fontId="4" numFmtId="0" xfId="0" applyAlignment="1" applyBorder="1" applyFont="1">
      <alignment vertical="center"/>
    </xf>
    <xf borderId="102" fillId="11" fontId="22" numFmtId="1" xfId="0" applyAlignment="1" applyBorder="1" applyFont="1" applyNumberFormat="1">
      <alignment horizontal="center" vertical="center"/>
    </xf>
    <xf borderId="94" fillId="0" fontId="13" numFmtId="2" xfId="0" applyAlignment="1" applyBorder="1" applyFont="1" applyNumberFormat="1">
      <alignment horizontal="right" vertical="center"/>
    </xf>
    <xf borderId="49" fillId="8" fontId="22" numFmtId="1" xfId="0" applyAlignment="1" applyBorder="1" applyFont="1" applyNumberFormat="1">
      <alignment vertical="center"/>
    </xf>
    <xf borderId="95" fillId="0" fontId="13" numFmtId="2" xfId="0" applyAlignment="1" applyBorder="1" applyFont="1" applyNumberFormat="1">
      <alignment horizontal="right" vertical="center"/>
    </xf>
    <xf borderId="103" fillId="0" fontId="4" numFmtId="0" xfId="0" applyAlignment="1" applyBorder="1" applyFont="1">
      <alignment vertical="center"/>
    </xf>
    <xf borderId="97" fillId="0" fontId="13" numFmtId="2" xfId="0" applyAlignment="1" applyBorder="1" applyFont="1" applyNumberFormat="1">
      <alignment horizontal="left" vertical="center"/>
    </xf>
    <xf borderId="104" fillId="0" fontId="4" numFmtId="0" xfId="0" applyAlignment="1" applyBorder="1" applyFont="1">
      <alignment vertical="center"/>
    </xf>
    <xf borderId="94" fillId="0" fontId="119" numFmtId="2" xfId="0" applyAlignment="1" applyBorder="1" applyFont="1" applyNumberFormat="1">
      <alignment horizontal="left" vertical="center"/>
    </xf>
    <xf borderId="95" fillId="0" fontId="117" numFmtId="2" xfId="0" applyAlignment="1" applyBorder="1" applyFont="1" applyNumberFormat="1">
      <alignment horizontal="left" vertical="center"/>
    </xf>
    <xf borderId="105" fillId="0" fontId="4" numFmtId="0" xfId="0" applyAlignment="1" applyBorder="1" applyFont="1">
      <alignment vertical="center"/>
    </xf>
    <xf borderId="97" fillId="0" fontId="120" numFmtId="2" xfId="0" applyAlignment="1" applyBorder="1" applyFont="1" applyNumberFormat="1">
      <alignment horizontal="left" shrinkToFit="0" vertical="center" wrapText="1"/>
    </xf>
    <xf borderId="9" fillId="14" fontId="1" numFmtId="0" xfId="0" applyAlignment="1" applyBorder="1" applyFont="1">
      <alignment vertical="bottom"/>
    </xf>
    <xf borderId="9" fillId="14" fontId="121" numFmtId="0" xfId="0" applyAlignment="1" applyBorder="1" applyFont="1">
      <alignment horizontal="center" vertical="center"/>
    </xf>
    <xf borderId="106" fillId="0" fontId="121" numFmtId="0" xfId="0" applyAlignment="1" applyBorder="1" applyFont="1">
      <alignment horizontal="center" vertical="center"/>
    </xf>
    <xf borderId="107" fillId="0" fontId="122" numFmtId="0" xfId="0" applyAlignment="1" applyBorder="1" applyFont="1">
      <alignment horizontal="center" vertical="center"/>
    </xf>
    <xf borderId="108" fillId="0" fontId="4" numFmtId="0" xfId="0" applyAlignment="1" applyBorder="1" applyFont="1">
      <alignment vertical="center"/>
    </xf>
    <xf borderId="109" fillId="0" fontId="4" numFmtId="0" xfId="0" applyAlignment="1" applyBorder="1" applyFont="1">
      <alignment vertical="center"/>
    </xf>
    <xf borderId="110" fillId="0" fontId="121" numFmtId="0" xfId="0" applyAlignment="1" applyBorder="1" applyFont="1">
      <alignment horizontal="center" vertical="center"/>
    </xf>
    <xf borderId="0" fillId="0" fontId="121" numFmtId="0" xfId="0" applyAlignment="1" applyFont="1">
      <alignment horizontal="center" vertical="center"/>
    </xf>
    <xf borderId="111" fillId="0" fontId="4" numFmtId="0" xfId="0" applyAlignment="1" applyBorder="1" applyFont="1">
      <alignment vertical="center"/>
    </xf>
    <xf borderId="112" fillId="14" fontId="105" numFmtId="0" xfId="0" applyAlignment="1" applyBorder="1" applyFont="1">
      <alignment horizontal="center" vertical="center"/>
    </xf>
    <xf borderId="113" fillId="14" fontId="105" numFmtId="0" xfId="0" applyAlignment="1" applyBorder="1" applyFont="1">
      <alignment horizontal="center" vertical="center"/>
    </xf>
    <xf borderId="108" fillId="0" fontId="105" numFmtId="0" xfId="0" applyAlignment="1" applyBorder="1" applyFont="1">
      <alignment horizontal="center" vertical="center"/>
    </xf>
    <xf borderId="114" fillId="14" fontId="105" numFmtId="0" xfId="0" applyAlignment="1" applyBorder="1" applyFont="1">
      <alignment horizontal="center" vertical="center"/>
    </xf>
    <xf borderId="115" fillId="0" fontId="4" numFmtId="0" xfId="0" applyAlignment="1" applyBorder="1" applyFont="1">
      <alignment vertical="center"/>
    </xf>
    <xf borderId="111" fillId="0" fontId="123" numFmtId="0" xfId="0" applyAlignment="1" applyBorder="1" applyFont="1">
      <alignment horizontal="center" vertical="center"/>
    </xf>
    <xf borderId="0" fillId="0" fontId="124" numFmtId="0" xfId="0" applyAlignment="1" applyFont="1">
      <alignment horizontal="center" vertical="center"/>
    </xf>
    <xf borderId="0" fillId="0" fontId="125" numFmtId="0" xfId="0" applyAlignment="1" applyFont="1">
      <alignment horizontal="center" shrinkToFit="0" vertical="center" wrapText="1"/>
    </xf>
    <xf borderId="0" fillId="0" fontId="125" numFmtId="0" xfId="0" applyAlignment="1" applyFont="1">
      <alignment horizontal="center" vertical="center"/>
    </xf>
    <xf borderId="0" fillId="0" fontId="126" numFmtId="0" xfId="0" applyAlignment="1" applyFont="1">
      <alignment horizontal="left" vertical="center"/>
    </xf>
    <xf borderId="116" fillId="14" fontId="127" numFmtId="49" xfId="0" applyAlignment="1" applyBorder="1" applyFont="1" applyNumberFormat="1">
      <alignment horizontal="center" vertical="center"/>
    </xf>
    <xf borderId="48" fillId="15" fontId="128" numFmtId="0" xfId="0" applyAlignment="1" applyBorder="1" applyFont="1">
      <alignment horizontal="center" vertical="center"/>
    </xf>
    <xf borderId="9" fillId="14" fontId="129" numFmtId="1" xfId="0" applyAlignment="1" applyBorder="1" applyFont="1" applyNumberFormat="1">
      <alignment horizontal="center" vertical="center"/>
    </xf>
    <xf borderId="9" fillId="14" fontId="129" numFmtId="0" xfId="0" applyAlignment="1" applyBorder="1" applyFont="1">
      <alignment horizontal="center" vertical="center"/>
    </xf>
    <xf borderId="9" fillId="14" fontId="121" numFmtId="165" xfId="0" applyAlignment="1" applyBorder="1" applyFont="1" applyNumberFormat="1">
      <alignment horizontal="center" vertical="center"/>
    </xf>
    <xf borderId="117" fillId="14" fontId="127" numFmtId="49" xfId="0" applyAlignment="1" applyBorder="1" applyFont="1" applyNumberFormat="1">
      <alignment horizontal="center" vertical="center"/>
    </xf>
    <xf borderId="49" fillId="15" fontId="128" numFmtId="0" xfId="0" applyAlignment="1" applyBorder="1" applyFont="1">
      <alignment horizontal="center" vertical="center"/>
    </xf>
    <xf borderId="0" fillId="0" fontId="130" numFmtId="0" xfId="0" applyAlignment="1" applyFont="1">
      <alignment horizontal="center" vertical="center"/>
    </xf>
    <xf borderId="118" fillId="14" fontId="121" numFmtId="0" xfId="0" applyAlignment="1" applyBorder="1" applyFont="1">
      <alignment horizontal="center" vertical="center"/>
    </xf>
    <xf borderId="9" fillId="14" fontId="131" numFmtId="0" xfId="0" applyAlignment="1" applyBorder="1" applyFont="1">
      <alignment horizontal="right" vertical="bottom"/>
    </xf>
    <xf borderId="49" fillId="20" fontId="75" numFmtId="1" xfId="0" applyAlignment="1" applyBorder="1" applyFont="1" applyNumberFormat="1">
      <alignment horizontal="center" vertical="center"/>
    </xf>
    <xf borderId="9" fillId="14" fontId="86" numFmtId="0" xfId="0" applyAlignment="1" applyBorder="1" applyFont="1">
      <alignment horizontal="right" vertical="bottom"/>
    </xf>
    <xf borderId="9" fillId="14" fontId="132" numFmtId="1" xfId="0" applyAlignment="1" applyBorder="1" applyFont="1" applyNumberFormat="1">
      <alignment horizontal="center" vertical="bottom"/>
    </xf>
    <xf borderId="31" fillId="14" fontId="133" numFmtId="0" xfId="0" applyAlignment="1" applyBorder="1" applyFont="1">
      <alignment horizontal="center" vertical="center"/>
    </xf>
    <xf borderId="9" fillId="14" fontId="134" numFmtId="0" xfId="0" applyAlignment="1" applyBorder="1" applyFont="1">
      <alignment horizontal="right" vertical="center"/>
    </xf>
    <xf borderId="9" fillId="14" fontId="135" numFmtId="3" xfId="0" applyAlignment="1" applyBorder="1" applyFont="1" applyNumberFormat="1">
      <alignment horizontal="center" vertical="center"/>
    </xf>
    <xf borderId="0" fillId="0" fontId="1" numFmtId="0" xfId="0" applyAlignment="1" applyFont="1">
      <alignment shrinkToFit="0" vertical="bottom" wrapText="1"/>
    </xf>
    <xf borderId="9" fillId="14" fontId="134" numFmtId="0" xfId="0" applyAlignment="1" applyBorder="1" applyFont="1">
      <alignment horizontal="right" vertical="bottom"/>
    </xf>
    <xf borderId="9" fillId="14" fontId="136" numFmtId="3" xfId="0" applyAlignment="1" applyBorder="1" applyFont="1" applyNumberFormat="1">
      <alignment horizontal="center" vertical="center"/>
    </xf>
    <xf borderId="9" fillId="14" fontId="137" numFmtId="0" xfId="0" applyAlignment="1" applyBorder="1" applyFont="1">
      <alignment shrinkToFit="0" vertical="center" wrapText="1"/>
    </xf>
    <xf borderId="118" fillId="14" fontId="137" numFmtId="0" xfId="0" applyAlignment="1" applyBorder="1" applyFont="1">
      <alignment shrinkToFit="0" vertical="center" wrapText="1"/>
    </xf>
    <xf borderId="119" fillId="14" fontId="127" numFmtId="49" xfId="0" applyAlignment="1" applyBorder="1" applyFont="1" applyNumberFormat="1">
      <alignment horizontal="center" vertical="center"/>
    </xf>
    <xf borderId="120" fillId="15" fontId="128" numFmtId="0" xfId="0" applyAlignment="1" applyBorder="1" applyFont="1">
      <alignment horizontal="center" vertical="center"/>
    </xf>
    <xf borderId="9" fillId="14" fontId="138" numFmtId="0" xfId="0" applyAlignment="1" applyBorder="1" applyFont="1">
      <alignment horizontal="center" shrinkToFit="0" vertical="center" wrapText="1"/>
    </xf>
    <xf borderId="0" fillId="0" fontId="139" numFmtId="0" xfId="0" applyAlignment="1" applyFont="1">
      <alignment vertical="bottom"/>
    </xf>
    <xf borderId="49" fillId="14" fontId="47" numFmtId="0" xfId="0" applyAlignment="1" applyBorder="1" applyFont="1">
      <alignment horizontal="center" vertical="center"/>
    </xf>
    <xf borderId="121" fillId="14" fontId="140" numFmtId="0" xfId="0" applyAlignment="1" applyBorder="1" applyFont="1">
      <alignment horizontal="center" shrinkToFit="0" vertical="center" wrapText="1"/>
    </xf>
    <xf borderId="122" fillId="0" fontId="4" numFmtId="0" xfId="0" applyAlignment="1" applyBorder="1" applyFont="1">
      <alignment vertical="center"/>
    </xf>
    <xf borderId="9" fillId="14" fontId="121" numFmtId="3" xfId="0" applyAlignment="1" applyBorder="1" applyFont="1" applyNumberFormat="1">
      <alignment horizontal="center" vertical="center"/>
    </xf>
    <xf borderId="49" fillId="22" fontId="22" numFmtId="0" xfId="0" applyAlignment="1" applyBorder="1" applyFill="1" applyFont="1">
      <alignment horizontal="center" vertical="center"/>
    </xf>
    <xf borderId="118" fillId="14" fontId="141" numFmtId="0" xfId="0" applyAlignment="1" applyBorder="1" applyFont="1">
      <alignment horizontal="left" vertical="center"/>
    </xf>
    <xf borderId="123" fillId="14" fontId="127" numFmtId="49" xfId="0" applyAlignment="1" applyBorder="1" applyFont="1" applyNumberFormat="1">
      <alignment horizontal="center" vertical="center"/>
    </xf>
    <xf borderId="9" fillId="14" fontId="116" numFmtId="1" xfId="0" applyAlignment="1" applyBorder="1" applyFont="1" applyNumberFormat="1">
      <alignment horizontal="center" vertical="center"/>
    </xf>
    <xf borderId="9" fillId="14" fontId="116" numFmtId="3" xfId="0" applyAlignment="1" applyBorder="1" applyFont="1" applyNumberFormat="1">
      <alignment horizontal="center" vertical="center"/>
    </xf>
    <xf borderId="9" fillId="14" fontId="86" numFmtId="0" xfId="0" applyAlignment="1" applyBorder="1" applyFont="1">
      <alignment horizontal="center" vertical="center"/>
    </xf>
    <xf borderId="124" fillId="14" fontId="121" numFmtId="0" xfId="0" applyAlignment="1" applyBorder="1" applyFont="1">
      <alignment horizontal="center" vertical="center"/>
    </xf>
    <xf borderId="125" fillId="14" fontId="121" numFmtId="0" xfId="0" applyAlignment="1" applyBorder="1" applyFont="1">
      <alignment horizontal="center" vertical="center"/>
    </xf>
    <xf borderId="126" fillId="0" fontId="4" numFmtId="0" xfId="0" applyAlignment="1" applyBorder="1" applyFont="1">
      <alignment vertical="center"/>
    </xf>
    <xf borderId="127" fillId="14" fontId="121" numFmtId="0" xfId="0" applyAlignment="1" applyBorder="1" applyFont="1">
      <alignment horizontal="center" vertical="center"/>
    </xf>
    <xf borderId="128" fillId="0" fontId="4" numFmtId="0" xfId="0" applyAlignment="1" applyBorder="1" applyFont="1">
      <alignment vertical="center"/>
    </xf>
    <xf borderId="126" fillId="0" fontId="121" numFmtId="0" xfId="0" applyAlignment="1" applyBorder="1" applyFont="1">
      <alignment horizontal="center" vertical="center"/>
    </xf>
    <xf borderId="129" fillId="0" fontId="4" numFmtId="0" xfId="0" applyAlignment="1" applyBorder="1" applyFont="1">
      <alignment vertical="center"/>
    </xf>
    <xf borderId="9" fillId="14" fontId="47" numFmtId="0" xfId="0" applyAlignment="1" applyBorder="1" applyFont="1">
      <alignment vertical="bottom"/>
    </xf>
    <xf borderId="130" fillId="14" fontId="47" numFmtId="0" xfId="0" applyAlignment="1" applyBorder="1" applyFont="1">
      <alignment horizontal="center" vertical="center"/>
    </xf>
    <xf borderId="131" fillId="0" fontId="4" numFmtId="0" xfId="0" applyAlignment="1" applyBorder="1" applyFont="1">
      <alignment vertical="center"/>
    </xf>
    <xf borderId="132" fillId="0" fontId="4" numFmtId="0" xfId="0" applyAlignment="1" applyBorder="1" applyFont="1">
      <alignment vertical="center"/>
    </xf>
    <xf borderId="0" fillId="0" fontId="139" numFmtId="0" xfId="0" applyAlignment="1" applyFont="1">
      <alignment horizontal="right" vertical="bottom"/>
    </xf>
    <xf borderId="0" fillId="0" fontId="142" numFmtId="0" xfId="0" applyAlignment="1" applyFont="1">
      <alignment vertical="bottom"/>
    </xf>
    <xf borderId="133" fillId="0" fontId="1" numFmtId="0" xfId="0" applyAlignment="1" applyBorder="1" applyFont="1">
      <alignment horizontal="center" vertical="center"/>
    </xf>
    <xf borderId="134" fillId="0" fontId="143" numFmtId="0" xfId="0" applyAlignment="1" applyBorder="1" applyFont="1">
      <alignment horizontal="center" vertical="center"/>
    </xf>
    <xf borderId="134" fillId="0" fontId="4" numFmtId="0" xfId="0" applyAlignment="1" applyBorder="1" applyFont="1">
      <alignment vertical="center"/>
    </xf>
    <xf borderId="134" fillId="0" fontId="22" numFmtId="0" xfId="0" applyAlignment="1" applyBorder="1" applyFont="1">
      <alignment horizontal="left" vertical="center"/>
    </xf>
    <xf borderId="135" fillId="0" fontId="4" numFmtId="0" xfId="0" applyAlignment="1" applyBorder="1" applyFont="1">
      <alignment vertical="center"/>
    </xf>
    <xf borderId="136" fillId="0" fontId="116" numFmtId="0" xfId="0" applyAlignment="1" applyBorder="1" applyFont="1">
      <alignment horizontal="right" shrinkToFit="0" vertical="center" wrapText="1"/>
    </xf>
    <xf borderId="0" fillId="0" fontId="82" numFmtId="0" xfId="0" applyAlignment="1" applyFont="1">
      <alignment horizontal="left" shrinkToFit="0" vertical="center" wrapText="1"/>
    </xf>
    <xf borderId="0" fillId="0" fontId="116" numFmtId="0" xfId="0" applyAlignment="1" applyFont="1">
      <alignment horizontal="center" shrinkToFit="0" vertical="center" wrapText="1"/>
    </xf>
    <xf borderId="0" fillId="0" fontId="12" numFmtId="0" xfId="0" applyAlignment="1" applyFont="1">
      <alignment horizontal="left" shrinkToFit="0" vertical="center" wrapText="1"/>
    </xf>
    <xf borderId="0" fillId="0" fontId="116" numFmtId="0" xfId="0" applyAlignment="1" applyFont="1">
      <alignment horizontal="right" shrinkToFit="0" vertical="center" wrapText="1"/>
    </xf>
    <xf borderId="0" fillId="0" fontId="144" numFmtId="0" xfId="0" applyAlignment="1" applyFont="1">
      <alignment horizontal="center" shrinkToFit="0" vertical="center" wrapText="1"/>
    </xf>
    <xf borderId="137" fillId="0" fontId="4" numFmtId="0" xfId="0" applyAlignment="1" applyBorder="1" applyFont="1">
      <alignment vertical="center"/>
    </xf>
    <xf borderId="0" fillId="0" fontId="1" numFmtId="0" xfId="0" applyAlignment="1" applyFont="1">
      <alignment horizontal="center" shrinkToFit="0" vertical="center" wrapText="1"/>
    </xf>
    <xf borderId="138" fillId="0" fontId="116" numFmtId="0" xfId="0" applyAlignment="1" applyBorder="1" applyFont="1">
      <alignment horizontal="right" shrinkToFit="0" vertical="center" wrapText="1"/>
    </xf>
    <xf borderId="104" fillId="0" fontId="22" numFmtId="0" xfId="0" applyAlignment="1" applyBorder="1" applyFont="1">
      <alignment horizontal="left" shrinkToFit="0" vertical="center" wrapText="1"/>
    </xf>
    <xf borderId="0" fillId="0" fontId="46" numFmtId="0" xfId="0" applyAlignment="1" applyFont="1">
      <alignment horizontal="center" shrinkToFit="0" vertical="center" wrapText="1"/>
    </xf>
    <xf borderId="104" fillId="0" fontId="22" numFmtId="1" xfId="0" applyAlignment="1" applyBorder="1" applyFont="1" applyNumberFormat="1">
      <alignment horizontal="left" shrinkToFit="0" vertical="center" wrapText="1"/>
    </xf>
    <xf borderId="104" fillId="0" fontId="116" numFmtId="0" xfId="0" applyAlignment="1" applyBorder="1" applyFont="1">
      <alignment horizontal="center" shrinkToFit="0" vertical="center" wrapText="1"/>
    </xf>
    <xf borderId="104" fillId="0" fontId="12" numFmtId="1" xfId="0" applyAlignment="1" applyBorder="1" applyFont="1" applyNumberFormat="1">
      <alignment horizontal="left" shrinkToFit="0" vertical="center" wrapText="1"/>
    </xf>
    <xf borderId="139" fillId="0" fontId="4" numFmtId="0" xfId="0" applyAlignment="1" applyBorder="1" applyFont="1">
      <alignment vertical="center"/>
    </xf>
    <xf borderId="140" fillId="0" fontId="145" numFmtId="0" xfId="0" applyAlignment="1" applyBorder="1" applyFont="1">
      <alignment horizontal="center" vertical="center"/>
    </xf>
    <xf borderId="94" fillId="0" fontId="145" numFmtId="0" xfId="0" applyAlignment="1" applyBorder="1" applyFont="1">
      <alignment horizontal="center" vertical="center"/>
    </xf>
    <xf borderId="102" fillId="0" fontId="13" numFmtId="0" xfId="0" applyAlignment="1" applyBorder="1" applyFont="1">
      <alignment horizontal="center" vertical="center"/>
    </xf>
    <xf borderId="102" fillId="0" fontId="13" numFmtId="0" xfId="0" applyAlignment="1" applyBorder="1" applyFont="1">
      <alignment horizontal="center" textRotation="90" vertical="center"/>
    </xf>
    <xf borderId="141" fillId="0" fontId="13" numFmtId="0" xfId="0" applyAlignment="1" applyBorder="1" applyFont="1">
      <alignment horizontal="center" textRotation="90" vertical="center"/>
    </xf>
    <xf borderId="0" fillId="0" fontId="40" numFmtId="0" xfId="0" applyAlignment="1" applyFont="1">
      <alignment vertical="bottom"/>
    </xf>
    <xf borderId="0" fillId="0" fontId="40" numFmtId="0" xfId="0" applyAlignment="1" applyFont="1">
      <alignment horizontal="center" vertical="center"/>
    </xf>
    <xf borderId="142" fillId="0" fontId="146" numFmtId="0" xfId="0" applyAlignment="1" applyBorder="1" applyFont="1">
      <alignment horizontal="center" shrinkToFit="0" vertical="center" wrapText="1"/>
    </xf>
    <xf borderId="49" fillId="0" fontId="146" numFmtId="0" xfId="0" applyAlignment="1" applyBorder="1" applyFont="1">
      <alignment horizontal="center" shrinkToFit="0" vertical="center" wrapText="1"/>
    </xf>
    <xf borderId="49" fillId="0" fontId="147" numFmtId="0" xfId="0" applyAlignment="1" applyBorder="1" applyFont="1">
      <alignment horizontal="center" shrinkToFit="0" vertical="center" wrapText="1"/>
    </xf>
    <xf borderId="143" fillId="0" fontId="4" numFmtId="0" xfId="0" applyAlignment="1" applyBorder="1" applyFont="1">
      <alignment vertical="center"/>
    </xf>
    <xf borderId="0" fillId="0" fontId="148" numFmtId="0" xfId="0" applyAlignment="1" applyFont="1">
      <alignment shrinkToFit="0" vertical="bottom" wrapText="1"/>
    </xf>
    <xf borderId="0" fillId="0" fontId="148" numFmtId="0" xfId="0" applyAlignment="1" applyFont="1">
      <alignment horizontal="center" shrinkToFit="0" vertical="center" wrapText="1"/>
    </xf>
    <xf borderId="142" fillId="0" fontId="149" numFmtId="0" xfId="0" applyAlignment="1" applyBorder="1" applyFont="1">
      <alignment horizontal="center" vertical="center"/>
    </xf>
    <xf borderId="49" fillId="0" fontId="146" numFmtId="165" xfId="0" applyAlignment="1" applyBorder="1" applyFont="1" applyNumberFormat="1">
      <alignment horizontal="center" shrinkToFit="0" vertical="center" wrapText="1"/>
    </xf>
    <xf borderId="49" fillId="0" fontId="148" numFmtId="1" xfId="0" applyAlignment="1" applyBorder="1" applyFont="1" applyNumberFormat="1">
      <alignment horizontal="center" readingOrder="0" shrinkToFit="0" vertical="center" wrapText="1"/>
    </xf>
    <xf borderId="49" fillId="0" fontId="148" numFmtId="1" xfId="0" applyAlignment="1" applyBorder="1" applyFont="1" applyNumberFormat="1">
      <alignment horizontal="center" shrinkToFit="0" vertical="center" wrapText="1"/>
    </xf>
    <xf borderId="49" fillId="0" fontId="150" numFmtId="164" xfId="0" applyAlignment="1" applyBorder="1" applyFont="1" applyNumberFormat="1">
      <alignment horizontal="center" shrinkToFit="0" vertical="center" wrapText="1"/>
    </xf>
    <xf borderId="0" fillId="0" fontId="151" numFmtId="0" xfId="0" applyAlignment="1" applyFont="1">
      <alignment vertical="bottom"/>
    </xf>
    <xf borderId="142" fillId="0" fontId="152" numFmtId="0" xfId="0" applyAlignment="1" applyBorder="1" applyFont="1">
      <alignment horizontal="center" vertical="center"/>
    </xf>
    <xf borderId="94" fillId="0" fontId="149" numFmtId="0" xfId="0" applyAlignment="1" applyBorder="1" applyFont="1">
      <alignment horizontal="right" vertical="center"/>
    </xf>
    <xf borderId="49" fillId="0" fontId="146" numFmtId="1" xfId="0" applyAlignment="1" applyBorder="1" applyFont="1" applyNumberFormat="1">
      <alignment horizontal="center" vertical="center"/>
    </xf>
    <xf borderId="94" fillId="0" fontId="149" numFmtId="1" xfId="0" applyAlignment="1" applyBorder="1" applyFont="1" applyNumberFormat="1">
      <alignment horizontal="center" vertical="center"/>
    </xf>
    <xf borderId="144" fillId="0" fontId="150" numFmtId="164" xfId="0" applyAlignment="1" applyBorder="1" applyFont="1" applyNumberFormat="1">
      <alignment horizontal="center" vertical="center"/>
    </xf>
    <xf borderId="136" fillId="0" fontId="1" numFmtId="0" xfId="0" applyAlignment="1" applyBorder="1" applyFont="1">
      <alignment horizontal="center" vertical="center"/>
    </xf>
    <xf borderId="0" fillId="0" fontId="30" numFmtId="0" xfId="0" applyAlignment="1" applyFont="1">
      <alignment shrinkToFit="0" vertical="center" wrapText="1"/>
    </xf>
    <xf borderId="137" fillId="0" fontId="1" numFmtId="0" xfId="0" applyAlignment="1" applyBorder="1" applyFont="1">
      <alignment horizontal="center" vertical="center"/>
    </xf>
    <xf borderId="0" fillId="0" fontId="153" numFmtId="0" xfId="0" applyAlignment="1" applyFont="1">
      <alignment horizontal="center" vertical="center"/>
    </xf>
    <xf borderId="0" fillId="0" fontId="154" numFmtId="0" xfId="0" applyAlignment="1" applyFont="1">
      <alignment horizontal="center" shrinkToFit="0" vertical="center" wrapText="1"/>
    </xf>
    <xf borderId="0" fillId="0" fontId="155" numFmtId="0" xfId="0" applyAlignment="1" applyFont="1">
      <alignment horizontal="center" shrinkToFit="0" vertical="center" wrapText="1"/>
    </xf>
    <xf borderId="145" fillId="0" fontId="1" numFmtId="0" xfId="0" applyAlignment="1" applyBorder="1" applyFont="1">
      <alignment horizontal="center" vertical="center"/>
    </xf>
    <xf borderId="146" fillId="0" fontId="1" numFmtId="0" xfId="0" applyAlignment="1" applyBorder="1" applyFont="1">
      <alignment horizontal="center" vertical="center"/>
    </xf>
    <xf borderId="146" fillId="0" fontId="40" numFmtId="0" xfId="0" applyAlignment="1" applyBorder="1" applyFont="1">
      <alignment horizontal="center" vertical="center"/>
    </xf>
    <xf borderId="146" fillId="0" fontId="4" numFmtId="0" xfId="0" applyAlignment="1" applyBorder="1" applyFont="1">
      <alignment vertical="center"/>
    </xf>
    <xf borderId="146" fillId="0" fontId="30" numFmtId="0" xfId="0" applyAlignment="1" applyBorder="1" applyFont="1">
      <alignment vertical="center"/>
    </xf>
    <xf borderId="146" fillId="0" fontId="30" numFmtId="0" xfId="0" applyAlignment="1" applyBorder="1" applyFont="1">
      <alignment shrinkToFit="0" vertical="center" wrapText="1"/>
    </xf>
    <xf borderId="146" fillId="0" fontId="40" numFmtId="0" xfId="0" applyAlignment="1" applyBorder="1" applyFont="1">
      <alignment horizontal="center" shrinkToFit="0" vertical="center" wrapText="1"/>
    </xf>
    <xf borderId="146" fillId="0" fontId="30" numFmtId="0" xfId="0" applyAlignment="1" applyBorder="1" applyFont="1">
      <alignment horizontal="center" shrinkToFit="0" vertical="center" wrapText="1"/>
    </xf>
    <xf borderId="147" fillId="0" fontId="1" numFmtId="0" xfId="0" applyAlignment="1" applyBorder="1" applyFont="1">
      <alignment horizontal="center" vertical="center"/>
    </xf>
    <xf borderId="0" fillId="0" fontId="156" numFmtId="0" xfId="0" applyAlignment="1" applyFont="1">
      <alignment horizontal="center" vertical="center"/>
    </xf>
    <xf borderId="0" fillId="0" fontId="157" numFmtId="0" xfId="0" applyAlignment="1" applyFont="1">
      <alignment horizontal="center" vertical="center"/>
    </xf>
    <xf borderId="0" fillId="0" fontId="158" numFmtId="0" xfId="0" applyAlignment="1" applyFont="1">
      <alignment vertical="bottom"/>
    </xf>
    <xf borderId="0" fillId="0" fontId="159" numFmtId="0" xfId="0" applyAlignment="1" applyFont="1">
      <alignment vertical="center"/>
    </xf>
    <xf borderId="0" fillId="0" fontId="160" numFmtId="0" xfId="0" applyAlignment="1" applyFont="1">
      <alignment horizontal="right" vertical="center"/>
    </xf>
    <xf borderId="148" fillId="0" fontId="161" numFmtId="0" xfId="0" applyAlignment="1" applyBorder="1" applyFont="1">
      <alignment horizontal="left" vertical="center"/>
    </xf>
    <xf borderId="148" fillId="0" fontId="4" numFmtId="0" xfId="0" applyAlignment="1" applyBorder="1" applyFont="1">
      <alignment vertical="center"/>
    </xf>
    <xf borderId="0" fillId="0" fontId="162" numFmtId="0" xfId="0" applyAlignment="1" applyFont="1">
      <alignment horizontal="center" shrinkToFit="0" vertical="center" wrapText="1"/>
    </xf>
    <xf borderId="149" fillId="0" fontId="1" numFmtId="0" xfId="0" applyAlignment="1" applyBorder="1" applyFont="1">
      <alignment horizontal="center" vertical="center"/>
    </xf>
    <xf borderId="150" fillId="0" fontId="152" numFmtId="0" xfId="0" applyAlignment="1" applyBorder="1" applyFont="1">
      <alignment horizontal="center" vertical="center"/>
    </xf>
    <xf borderId="151" fillId="0" fontId="4" numFmtId="0" xfId="0" applyAlignment="1" applyBorder="1" applyFont="1">
      <alignment vertical="center"/>
    </xf>
    <xf borderId="150" fillId="0" fontId="145" numFmtId="0" xfId="0" applyAlignment="1" applyBorder="1" applyFont="1">
      <alignment horizontal="left" vertical="center"/>
    </xf>
    <xf borderId="152" fillId="0" fontId="4" numFmtId="0" xfId="0" applyAlignment="1" applyBorder="1" applyFont="1">
      <alignment vertical="center"/>
    </xf>
    <xf borderId="153" fillId="0" fontId="152" numFmtId="0" xfId="0" applyAlignment="1" applyBorder="1" applyFont="1">
      <alignment horizontal="center" vertical="center"/>
    </xf>
    <xf borderId="153" fillId="0" fontId="1" numFmtId="0" xfId="0" applyAlignment="1" applyBorder="1" applyFont="1">
      <alignment horizontal="center" vertical="center"/>
    </xf>
    <xf borderId="150" fillId="0" fontId="145" numFmtId="0" xfId="0" applyAlignment="1" applyBorder="1" applyFont="1">
      <alignment horizontal="center" vertical="center"/>
    </xf>
    <xf borderId="154" fillId="0" fontId="4" numFmtId="0" xfId="0" applyAlignment="1" applyBorder="1" applyFont="1">
      <alignment vertical="center"/>
    </xf>
    <xf borderId="0" fillId="0" fontId="163" numFmtId="0" xfId="0" applyAlignment="1" applyFont="1">
      <alignment horizontal="center" vertical="center"/>
    </xf>
    <xf borderId="155" fillId="0" fontId="1" numFmtId="0" xfId="0" applyAlignment="1" applyBorder="1" applyFont="1">
      <alignment horizontal="center" vertical="center"/>
    </xf>
    <xf borderId="156" fillId="0" fontId="152" numFmtId="0" xfId="0" applyAlignment="1" applyBorder="1" applyFont="1">
      <alignment horizontal="left" vertical="center"/>
    </xf>
    <xf borderId="157" fillId="0" fontId="4" numFmtId="0" xfId="0" applyAlignment="1" applyBorder="1" applyFont="1">
      <alignment vertical="center"/>
    </xf>
    <xf borderId="157" fillId="0" fontId="152" numFmtId="0" xfId="0" applyAlignment="1" applyBorder="1" applyFont="1">
      <alignment horizontal="right" vertical="center"/>
    </xf>
    <xf borderId="158" fillId="0" fontId="4" numFmtId="0" xfId="0" applyAlignment="1" applyBorder="1" applyFont="1">
      <alignment vertical="center"/>
    </xf>
    <xf borderId="159" fillId="0" fontId="152" numFmtId="1" xfId="0" applyAlignment="1" applyBorder="1" applyFont="1" applyNumberFormat="1">
      <alignment horizontal="right" vertical="center"/>
    </xf>
    <xf borderId="160" fillId="0" fontId="12" numFmtId="1" xfId="0" applyAlignment="1" applyBorder="1" applyFont="1" applyNumberFormat="1">
      <alignment horizontal="right" vertical="center"/>
    </xf>
    <xf borderId="0" fillId="0" fontId="12" numFmtId="2" xfId="0" applyAlignment="1" applyFont="1" applyNumberFormat="1">
      <alignment horizontal="right" vertical="center"/>
    </xf>
    <xf borderId="0" fillId="0" fontId="164" numFmtId="0" xfId="0" applyAlignment="1" applyFont="1">
      <alignment horizontal="right" vertical="center"/>
    </xf>
    <xf borderId="133" fillId="0" fontId="84" numFmtId="0" xfId="0" applyAlignment="1" applyBorder="1" applyFont="1">
      <alignment horizontal="left" shrinkToFit="0" vertical="center" wrapText="1"/>
    </xf>
    <xf borderId="0" fillId="0" fontId="15" numFmtId="0" xfId="0" applyAlignment="1" applyFont="1">
      <alignment horizontal="center" shrinkToFit="0" vertical="center" wrapText="1"/>
    </xf>
    <xf borderId="161" fillId="0" fontId="1" numFmtId="0" xfId="0" applyAlignment="1" applyBorder="1" applyFont="1">
      <alignment horizontal="center" vertical="center"/>
    </xf>
    <xf borderId="156" fillId="0" fontId="152" numFmtId="0" xfId="0" applyAlignment="1" applyBorder="1" applyFont="1">
      <alignment horizontal="left" vertical="bottom"/>
    </xf>
    <xf borderId="0" fillId="0" fontId="156" numFmtId="2" xfId="0" applyAlignment="1" applyFont="1" applyNumberFormat="1">
      <alignment horizontal="right" vertical="center"/>
    </xf>
    <xf borderId="136" fillId="0" fontId="4" numFmtId="0" xfId="0" applyAlignment="1" applyBorder="1" applyFont="1">
      <alignment vertical="center"/>
    </xf>
    <xf borderId="156" fillId="0" fontId="152" numFmtId="0" xfId="0" applyAlignment="1" applyBorder="1" applyFont="1">
      <alignment horizontal="right" vertical="center"/>
    </xf>
    <xf borderId="155" fillId="0" fontId="1" numFmtId="0" xfId="0" applyAlignment="1" applyBorder="1" applyFont="1">
      <alignment horizontal="center" vertical="top"/>
    </xf>
    <xf borderId="156" fillId="0" fontId="156" numFmtId="2" xfId="0" applyAlignment="1" applyBorder="1" applyFont="1" applyNumberFormat="1">
      <alignment horizontal="center" vertical="center"/>
    </xf>
    <xf borderId="162" fillId="0" fontId="165" numFmtId="1" xfId="0" applyAlignment="1" applyBorder="1" applyFont="1" applyNumberFormat="1">
      <alignment horizontal="center" vertical="center"/>
    </xf>
    <xf borderId="163" fillId="0" fontId="4" numFmtId="0" xfId="0" applyAlignment="1" applyBorder="1" applyFont="1">
      <alignment vertical="center"/>
    </xf>
    <xf borderId="0" fillId="0" fontId="165" numFmtId="0" xfId="0" applyAlignment="1" applyFont="1">
      <alignment horizontal="center" vertical="center"/>
    </xf>
    <xf borderId="145" fillId="0" fontId="4" numFmtId="0" xfId="0" applyAlignment="1" applyBorder="1" applyFont="1">
      <alignment vertical="center"/>
    </xf>
    <xf borderId="147" fillId="0" fontId="4" numFmtId="0" xfId="0" applyAlignment="1" applyBorder="1" applyFont="1">
      <alignment vertical="center"/>
    </xf>
    <xf borderId="164" fillId="0" fontId="4" numFmtId="0" xfId="0" applyAlignment="1" applyBorder="1" applyFont="1">
      <alignment vertical="center"/>
    </xf>
    <xf borderId="165" fillId="0" fontId="4" numFmtId="0" xfId="0" applyAlignment="1" applyBorder="1" applyFont="1">
      <alignment vertical="center"/>
    </xf>
    <xf borderId="166" fillId="0" fontId="4" numFmtId="0" xfId="0" applyAlignment="1" applyBorder="1" applyFont="1">
      <alignment vertical="center"/>
    </xf>
    <xf borderId="0" fillId="0" fontId="15" numFmtId="0" xfId="0" applyAlignment="1" applyFont="1">
      <alignment shrinkToFit="0" vertical="top" wrapText="1"/>
    </xf>
    <xf borderId="156" fillId="0" fontId="156" numFmtId="1" xfId="0" applyAlignment="1" applyBorder="1" applyFont="1" applyNumberFormat="1">
      <alignment horizontal="center" vertical="center"/>
    </xf>
    <xf borderId="167" fillId="0" fontId="4" numFmtId="0" xfId="0" applyAlignment="1" applyBorder="1" applyFont="1">
      <alignment vertical="center"/>
    </xf>
    <xf borderId="168" fillId="0" fontId="4" numFmtId="0" xfId="0" applyAlignment="1" applyBorder="1" applyFont="1">
      <alignment vertical="center"/>
    </xf>
    <xf borderId="169" fillId="0" fontId="4" numFmtId="0" xfId="0" applyAlignment="1" applyBorder="1" applyFont="1">
      <alignment vertical="center"/>
    </xf>
    <xf borderId="0" fillId="0" fontId="90" numFmtId="0" xfId="0" applyAlignment="1" applyFont="1">
      <alignment shrinkToFit="0" vertical="top" wrapText="1"/>
    </xf>
    <xf borderId="0" fillId="0" fontId="32" numFmtId="0" xfId="0" applyAlignment="1" applyFont="1">
      <alignment vertical="bottom"/>
    </xf>
    <xf borderId="156" fillId="0" fontId="152" numFmtId="0" xfId="0" applyAlignment="1" applyBorder="1" applyFont="1">
      <alignment horizontal="center" vertical="center"/>
    </xf>
    <xf borderId="162" fillId="0" fontId="166" numFmtId="1" xfId="0" applyAlignment="1" applyBorder="1" applyFont="1" applyNumberFormat="1">
      <alignment horizontal="center" vertical="center"/>
    </xf>
    <xf borderId="0" fillId="0" fontId="166" numFmtId="0" xfId="0" applyAlignment="1" applyFont="1">
      <alignment horizontal="center" vertical="center"/>
    </xf>
    <xf borderId="162" fillId="0" fontId="1" numFmtId="0" xfId="0" applyAlignment="1" applyBorder="1" applyFont="1">
      <alignment horizontal="left" shrinkToFit="0" vertical="center" wrapText="1"/>
    </xf>
    <xf borderId="170" fillId="0" fontId="4" numFmtId="0" xfId="0" applyAlignment="1" applyBorder="1" applyFont="1">
      <alignment vertical="center"/>
    </xf>
    <xf borderId="156" fillId="0" fontId="152" numFmtId="0" xfId="0" applyAlignment="1" applyBorder="1" applyFont="1">
      <alignment horizontal="center" vertical="bottom"/>
    </xf>
    <xf borderId="171" fillId="0" fontId="4" numFmtId="0" xfId="0" applyAlignment="1" applyBorder="1" applyFont="1">
      <alignment vertical="center"/>
    </xf>
    <xf borderId="156" fillId="0" fontId="145" numFmtId="0" xfId="0" applyAlignment="1" applyBorder="1" applyFont="1">
      <alignment horizontal="center" vertical="center"/>
    </xf>
    <xf borderId="159" fillId="0" fontId="145" numFmtId="0" xfId="0" applyAlignment="1" applyBorder="1" applyFont="1">
      <alignment horizontal="center" vertical="center"/>
    </xf>
    <xf borderId="156" fillId="0" fontId="149" numFmtId="0" xfId="0" applyAlignment="1" applyBorder="1" applyFont="1">
      <alignment horizontal="left" vertical="center"/>
    </xf>
    <xf borderId="172" fillId="0" fontId="4" numFmtId="0" xfId="0" applyAlignment="1" applyBorder="1" applyFont="1">
      <alignment vertical="center"/>
    </xf>
    <xf borderId="0" fillId="0" fontId="167" numFmtId="0" xfId="0" applyAlignment="1" applyFont="1">
      <alignment horizontal="left" vertical="center"/>
    </xf>
    <xf borderId="0" fillId="0" fontId="168" numFmtId="0" xfId="0" applyAlignment="1" applyFont="1">
      <alignment horizontal="center" vertical="bottom"/>
    </xf>
    <xf borderId="0" fillId="0" fontId="169" numFmtId="0" xfId="0" applyAlignment="1" applyFont="1">
      <alignment horizontal="left" vertical="center"/>
    </xf>
    <xf borderId="159" fillId="0" fontId="121" numFmtId="0" xfId="0" applyAlignment="1" applyBorder="1" applyFont="1">
      <alignment horizontal="center" vertical="bottom"/>
    </xf>
    <xf borderId="159" fillId="0" fontId="170" numFmtId="1" xfId="0" applyAlignment="1" applyBorder="1" applyFont="1" applyNumberFormat="1">
      <alignment horizontal="right" vertical="bottom"/>
    </xf>
    <xf borderId="156" fillId="0" fontId="152" numFmtId="0" xfId="0" applyAlignment="1" applyBorder="1" applyFont="1">
      <alignment horizontal="left" shrinkToFit="0" vertical="center" wrapText="1"/>
    </xf>
    <xf borderId="162" fillId="0" fontId="171" numFmtId="0" xfId="0" applyAlignment="1" applyBorder="1" applyFont="1">
      <alignment horizontal="center" vertical="bottom"/>
    </xf>
    <xf borderId="156" fillId="0" fontId="152" numFmtId="0" xfId="0" applyAlignment="1" applyBorder="1" applyFont="1">
      <alignment vertical="bottom"/>
    </xf>
    <xf borderId="0" fillId="0" fontId="172" numFmtId="0" xfId="0" applyAlignment="1" applyFont="1">
      <alignment horizontal="center" shrinkToFit="0" vertical="center" wrapText="1"/>
    </xf>
    <xf borderId="159" fillId="13" fontId="170" numFmtId="1" xfId="0" applyAlignment="1" applyBorder="1" applyFont="1" applyNumberFormat="1">
      <alignment horizontal="right" vertical="bottom"/>
    </xf>
    <xf borderId="0" fillId="0" fontId="1" numFmtId="1" xfId="0" applyAlignment="1" applyFont="1" applyNumberFormat="1">
      <alignment vertical="bottom"/>
    </xf>
    <xf borderId="0" fillId="0" fontId="48" numFmtId="0" xfId="0" applyAlignment="1" applyFont="1">
      <alignment shrinkToFit="0" vertical="center" wrapText="1"/>
    </xf>
    <xf borderId="0" fillId="0" fontId="48" numFmtId="0" xfId="0" applyAlignment="1" applyFont="1">
      <alignment horizontal="center" shrinkToFit="0" vertical="center" wrapText="1"/>
    </xf>
    <xf borderId="156" fillId="0" fontId="148" numFmtId="0" xfId="0" applyAlignment="1" applyBorder="1" applyFont="1">
      <alignment horizontal="left" vertical="bottom"/>
    </xf>
    <xf borderId="0" fillId="0" fontId="45" numFmtId="0" xfId="0" applyAlignment="1" applyFont="1">
      <alignment shrinkToFit="0" vertical="center" wrapText="1"/>
    </xf>
    <xf borderId="156" fillId="0" fontId="149" numFmtId="0" xfId="0" applyAlignment="1" applyBorder="1" applyFont="1">
      <alignment horizontal="right" vertical="bottom"/>
    </xf>
    <xf borderId="159" fillId="0" fontId="173" numFmtId="1" xfId="0" applyAlignment="1" applyBorder="1" applyFont="1" applyNumberFormat="1">
      <alignment horizontal="right" vertical="bottom"/>
    </xf>
    <xf borderId="0" fillId="0" fontId="44" numFmtId="0" xfId="0" applyAlignment="1" applyFont="1">
      <alignment horizontal="center" shrinkToFit="0" vertical="top" wrapText="1"/>
    </xf>
    <xf borderId="156" fillId="0" fontId="152" numFmtId="0" xfId="0" applyAlignment="1" applyBorder="1" applyFont="1">
      <alignment horizontal="left" shrinkToFit="0" vertical="top" wrapText="1"/>
    </xf>
    <xf borderId="0" fillId="0" fontId="174" numFmtId="0" xfId="0" applyAlignment="1" applyFont="1">
      <alignment horizontal="center" shrinkToFit="0" vertical="center" wrapText="1"/>
    </xf>
    <xf borderId="160" fillId="0" fontId="175" numFmtId="1" xfId="0" applyAlignment="1" applyBorder="1" applyFont="1" applyNumberFormat="1">
      <alignment horizontal="right" vertical="center"/>
    </xf>
    <xf borderId="0" fillId="0" fontId="176" numFmtId="0" xfId="0" applyAlignment="1" applyFont="1">
      <alignment shrinkToFit="0" vertical="center" wrapText="1"/>
    </xf>
    <xf borderId="160" fillId="0" fontId="156" numFmtId="1" xfId="0" applyAlignment="1" applyBorder="1" applyFont="1" applyNumberFormat="1">
      <alignment horizontal="right" vertical="center"/>
    </xf>
    <xf borderId="9" fillId="23" fontId="117" numFmtId="0" xfId="0" applyAlignment="1" applyBorder="1" applyFill="1" applyFont="1">
      <alignment shrinkToFit="0" vertical="bottom" wrapText="1"/>
    </xf>
    <xf borderId="9" fillId="23" fontId="117" numFmtId="0" xfId="0" applyAlignment="1" applyBorder="1" applyFont="1">
      <alignment horizontal="center" shrinkToFit="0" vertical="bottom" wrapText="1"/>
    </xf>
    <xf borderId="9" fillId="24" fontId="177" numFmtId="2" xfId="0" applyAlignment="1" applyBorder="1" applyFill="1" applyFont="1" applyNumberFormat="1">
      <alignment vertical="center"/>
    </xf>
    <xf borderId="9" fillId="24" fontId="156" numFmtId="2" xfId="0" applyAlignment="1" applyBorder="1" applyFont="1" applyNumberFormat="1">
      <alignment vertical="center"/>
    </xf>
    <xf borderId="0" fillId="0" fontId="178" numFmtId="2" xfId="0" applyAlignment="1" applyFont="1" applyNumberFormat="1">
      <alignment horizontal="right" vertical="center"/>
    </xf>
    <xf borderId="156" fillId="0" fontId="149" numFmtId="0" xfId="0" applyAlignment="1" applyBorder="1" applyFont="1">
      <alignment horizontal="right" vertical="center"/>
    </xf>
    <xf borderId="0" fillId="0" fontId="165" numFmtId="0" xfId="0" applyAlignment="1" applyFont="1">
      <alignment horizontal="left" vertical="center"/>
    </xf>
    <xf borderId="156" fillId="0" fontId="149" numFmtId="0" xfId="0" applyAlignment="1" applyBorder="1" applyFont="1">
      <alignment horizontal="center" vertical="center"/>
    </xf>
    <xf borderId="160" fillId="0" fontId="167" numFmtId="0" xfId="0" applyAlignment="1" applyBorder="1" applyFont="1">
      <alignment vertical="center"/>
    </xf>
    <xf borderId="0" fillId="0" fontId="167" numFmtId="0" xfId="0" applyAlignment="1" applyFont="1">
      <alignment vertical="center"/>
    </xf>
    <xf borderId="0" fillId="0" fontId="179" numFmtId="0" xfId="0" applyAlignment="1" applyFont="1">
      <alignment vertical="bottom"/>
    </xf>
    <xf borderId="0" fillId="0" fontId="180" numFmtId="0" xfId="0" applyAlignment="1" applyFont="1">
      <alignment vertical="bottom"/>
    </xf>
    <xf borderId="156" fillId="0" fontId="1" numFmtId="0" xfId="0" applyAlignment="1" applyBorder="1" applyFont="1">
      <alignment horizontal="center" vertical="bottom"/>
    </xf>
    <xf borderId="159" fillId="0" fontId="1" numFmtId="9" xfId="0" applyAlignment="1" applyBorder="1" applyFont="1" applyNumberFormat="1">
      <alignment horizontal="center" vertical="center"/>
    </xf>
    <xf borderId="160" fillId="0" fontId="178" numFmtId="1" xfId="0" applyAlignment="1" applyBorder="1" applyFont="1" applyNumberFormat="1">
      <alignment vertical="center"/>
    </xf>
    <xf borderId="0" fillId="0" fontId="156" numFmtId="2" xfId="0" applyAlignment="1" applyFont="1" applyNumberFormat="1">
      <alignment vertical="center"/>
    </xf>
    <xf borderId="0" fillId="0" fontId="152" numFmtId="0" xfId="0" applyAlignment="1" applyFont="1">
      <alignment vertical="bottom"/>
    </xf>
    <xf borderId="7" fillId="0" fontId="48" numFmtId="2" xfId="0" applyAlignment="1" applyBorder="1" applyFont="1" applyNumberFormat="1">
      <alignment horizontal="center" shrinkToFit="0" vertical="bottom" wrapText="1"/>
    </xf>
    <xf borderId="156" fillId="0" fontId="139" numFmtId="0" xfId="0" applyAlignment="1" applyBorder="1" applyFont="1">
      <alignment horizontal="center" vertical="bottom"/>
    </xf>
    <xf borderId="7" fillId="0" fontId="4" numFmtId="0" xfId="0" applyAlignment="1" applyBorder="1" applyFont="1">
      <alignment vertical="center"/>
    </xf>
    <xf borderId="9" fillId="23" fontId="117" numFmtId="0" xfId="0" applyAlignment="1" applyBorder="1" applyFont="1">
      <alignment shrinkToFit="0" vertical="center" wrapText="1"/>
    </xf>
    <xf borderId="157" fillId="0" fontId="139" numFmtId="0" xfId="0" applyAlignment="1" applyBorder="1" applyFont="1">
      <alignment horizontal="center" vertical="bottom"/>
    </xf>
    <xf borderId="158" fillId="0" fontId="139" numFmtId="0" xfId="0" applyAlignment="1" applyBorder="1" applyFont="1">
      <alignment horizontal="center" vertical="bottom"/>
    </xf>
    <xf borderId="157" fillId="0" fontId="1" numFmtId="0" xfId="0" applyAlignment="1" applyBorder="1" applyFont="1">
      <alignment horizontal="center" vertical="bottom"/>
    </xf>
    <xf borderId="158" fillId="0" fontId="1" numFmtId="0" xfId="0" applyAlignment="1" applyBorder="1" applyFont="1">
      <alignment horizontal="center" vertical="bottom"/>
    </xf>
    <xf borderId="159" fillId="0" fontId="171" numFmtId="0" xfId="0" applyAlignment="1" applyBorder="1" applyFont="1">
      <alignment horizontal="right" vertical="center"/>
    </xf>
    <xf borderId="156" fillId="0" fontId="149" numFmtId="2" xfId="0" applyAlignment="1" applyBorder="1" applyFont="1" applyNumberFormat="1">
      <alignment horizontal="left" vertical="bottom"/>
    </xf>
    <xf borderId="162" fillId="0" fontId="152" numFmtId="2" xfId="0" applyAlignment="1" applyBorder="1" applyFont="1" applyNumberFormat="1">
      <alignment horizontal="left" shrinkToFit="0" vertical="center" wrapText="1"/>
    </xf>
    <xf borderId="173" fillId="0" fontId="4" numFmtId="0" xfId="0" applyAlignment="1" applyBorder="1" applyFont="1">
      <alignment vertical="center"/>
    </xf>
    <xf borderId="174" fillId="0" fontId="46" numFmtId="1" xfId="0" applyAlignment="1" applyBorder="1" applyFont="1" applyNumberFormat="1">
      <alignment horizontal="center" vertical="center"/>
    </xf>
    <xf borderId="156" fillId="0" fontId="145" numFmtId="2" xfId="0" applyAlignment="1" applyBorder="1" applyFont="1" applyNumberFormat="1">
      <alignment horizontal="left" shrinkToFit="0" vertical="center" wrapText="1"/>
    </xf>
    <xf borderId="174" fillId="0" fontId="181" numFmtId="1" xfId="0" applyAlignment="1" applyBorder="1" applyFont="1" applyNumberFormat="1">
      <alignment horizontal="center" vertical="center"/>
    </xf>
    <xf borderId="156" fillId="0" fontId="152" numFmtId="2" xfId="0" applyAlignment="1" applyBorder="1" applyFont="1" applyNumberFormat="1">
      <alignment horizontal="left" vertical="bottom"/>
    </xf>
    <xf borderId="162" fillId="0" fontId="13" numFmtId="0" xfId="0" applyAlignment="1" applyBorder="1" applyFont="1">
      <alignment horizontal="center" shrinkToFit="0" vertical="center" wrapText="1"/>
    </xf>
    <xf borderId="156" fillId="0" fontId="149" numFmtId="0" xfId="0" applyAlignment="1" applyBorder="1" applyFont="1">
      <alignment horizontal="center" shrinkToFit="0" vertical="center" wrapText="1"/>
    </xf>
    <xf borderId="159" fillId="0" fontId="149" numFmtId="0" xfId="0" applyAlignment="1" applyBorder="1" applyFont="1">
      <alignment horizontal="center" shrinkToFit="0" vertical="center" wrapText="1"/>
    </xf>
    <xf borderId="160" fillId="0" fontId="149" numFmtId="0" xfId="0" applyAlignment="1" applyBorder="1" applyFont="1">
      <alignment horizontal="center" shrinkToFit="0" vertical="center" wrapText="1"/>
    </xf>
    <xf borderId="0" fillId="0" fontId="167" numFmtId="0" xfId="0" applyAlignment="1" applyFont="1">
      <alignment horizontal="center" shrinkToFit="0" vertical="center" wrapText="1"/>
    </xf>
    <xf borderId="175" fillId="0" fontId="4" numFmtId="0" xfId="0" applyAlignment="1" applyBorder="1" applyFont="1">
      <alignment vertical="center"/>
    </xf>
    <xf borderId="156" fillId="0" fontId="145" numFmtId="1" xfId="0" applyAlignment="1" applyBorder="1" applyFont="1" applyNumberFormat="1">
      <alignment horizontal="center" vertical="center"/>
    </xf>
    <xf borderId="159" fillId="0" fontId="145" numFmtId="1" xfId="0" applyAlignment="1" applyBorder="1" applyFont="1" applyNumberFormat="1">
      <alignment horizontal="center" vertical="center"/>
    </xf>
    <xf borderId="160" fillId="0" fontId="12" numFmtId="1" xfId="0" applyAlignment="1" applyBorder="1" applyFont="1" applyNumberFormat="1">
      <alignment shrinkToFit="0" vertical="center" wrapText="1"/>
    </xf>
    <xf borderId="0" fillId="0" fontId="156" numFmtId="2" xfId="0" applyAlignment="1" applyFont="1" applyNumberFormat="1">
      <alignment horizontal="right" shrinkToFit="0" vertical="center" wrapText="1"/>
    </xf>
    <xf borderId="0" fillId="0" fontId="1" numFmtId="1" xfId="0" applyAlignment="1" applyFont="1" applyNumberFormat="1">
      <alignment vertical="center"/>
    </xf>
    <xf borderId="176" fillId="0" fontId="12" numFmtId="0" xfId="0" applyAlignment="1" applyBorder="1" applyFont="1">
      <alignment horizontal="right" vertical="center"/>
    </xf>
    <xf borderId="177" fillId="0" fontId="4" numFmtId="0" xfId="0" applyAlignment="1" applyBorder="1" applyFont="1">
      <alignment vertical="center"/>
    </xf>
    <xf borderId="178" fillId="0" fontId="4" numFmtId="0" xfId="0" applyAlignment="1" applyBorder="1" applyFont="1">
      <alignment vertical="center"/>
    </xf>
    <xf borderId="179" fillId="0" fontId="152" numFmtId="0" xfId="0" applyAlignment="1" applyBorder="1" applyFont="1">
      <alignment horizontal="right" vertical="center"/>
    </xf>
    <xf borderId="180" fillId="0" fontId="82" numFmtId="1" xfId="0" applyAlignment="1" applyBorder="1" applyFont="1" applyNumberFormat="1">
      <alignment horizontal="right" vertical="center"/>
    </xf>
    <xf borderId="0" fillId="0" fontId="182" numFmtId="0" xfId="0" applyAlignment="1" applyFont="1">
      <alignment horizontal="right" vertical="center"/>
    </xf>
    <xf borderId="8" fillId="0" fontId="182" numFmtId="0" xfId="0" applyAlignment="1" applyBorder="1" applyFont="1">
      <alignment horizontal="left" vertical="center"/>
    </xf>
    <xf borderId="0" fillId="0" fontId="171" numFmtId="0" xfId="0" applyAlignment="1" applyFont="1">
      <alignment horizontal="right" vertical="center"/>
    </xf>
    <xf borderId="0" fillId="0" fontId="171" numFmtId="0" xfId="0" applyAlignment="1" applyFont="1">
      <alignment vertical="bottom"/>
    </xf>
    <xf borderId="0" fillId="0" fontId="183" numFmtId="0" xfId="0" applyAlignment="1" applyFont="1">
      <alignment vertical="bottom"/>
    </xf>
    <xf borderId="0" fillId="0" fontId="78" numFmtId="0" xfId="0" applyAlignment="1" applyFont="1">
      <alignment horizontal="center" vertical="center"/>
    </xf>
    <xf borderId="0" fillId="0" fontId="149" numFmtId="0" xfId="0" applyAlignment="1" applyFont="1">
      <alignment horizontal="center" vertical="center"/>
    </xf>
    <xf borderId="0" fillId="0" fontId="184" numFmtId="1" xfId="0" applyAlignment="1" applyFont="1" applyNumberFormat="1">
      <alignment vertical="bottom"/>
    </xf>
    <xf borderId="0" fillId="0" fontId="183" numFmtId="0" xfId="0" applyAlignment="1" applyFont="1">
      <alignment vertical="center"/>
    </xf>
    <xf borderId="0" fillId="0" fontId="185" numFmtId="0" xfId="0" applyAlignment="1" applyFont="1">
      <alignment horizontal="right" vertical="bottom"/>
    </xf>
    <xf borderId="0" fillId="0" fontId="183" numFmtId="0" xfId="0" applyAlignment="1" applyFont="1">
      <alignment horizontal="right" vertical="bottom"/>
    </xf>
    <xf borderId="0" fillId="0" fontId="155" numFmtId="0" xfId="0" applyAlignment="1" applyFont="1">
      <alignment vertical="top"/>
    </xf>
    <xf borderId="0" fillId="0" fontId="186" numFmtId="0" xfId="0" applyAlignment="1" applyFont="1">
      <alignment vertical="center"/>
    </xf>
    <xf borderId="0" fillId="0" fontId="185" numFmtId="0" xfId="0" applyAlignment="1" applyFont="1">
      <alignment vertical="bottom"/>
    </xf>
    <xf borderId="9" fillId="13" fontId="171" numFmtId="0" xfId="0" applyAlignment="1" applyBorder="1" applyFont="1">
      <alignment vertical="bottom"/>
    </xf>
    <xf borderId="9" fillId="13" fontId="183" numFmtId="0" xfId="0" applyAlignment="1" applyBorder="1" applyFont="1">
      <alignment vertical="bottom"/>
    </xf>
    <xf borderId="9" fillId="13" fontId="1" numFmtId="0" xfId="0" applyAlignment="1" applyBorder="1" applyFont="1">
      <alignment vertical="bottom"/>
    </xf>
    <xf borderId="9" fillId="13" fontId="185" numFmtId="0" xfId="0" applyAlignment="1" applyBorder="1" applyFont="1">
      <alignment horizontal="right" vertical="bottom"/>
    </xf>
    <xf borderId="9" fillId="13" fontId="183" numFmtId="0" xfId="0" applyAlignment="1" applyBorder="1" applyFont="1">
      <alignment horizontal="right" vertical="bottom"/>
    </xf>
    <xf borderId="9" fillId="13" fontId="185" numFmtId="0" xfId="0" applyAlignment="1" applyBorder="1" applyFont="1">
      <alignment vertical="bottom"/>
    </xf>
    <xf borderId="9" fillId="13" fontId="183" numFmtId="2" xfId="0" applyAlignment="1" applyBorder="1" applyFont="1" applyNumberFormat="1">
      <alignment horizontal="right" vertical="bottom"/>
    </xf>
    <xf borderId="0" fillId="0" fontId="187" numFmtId="0" xfId="0" applyAlignment="1" applyFont="1">
      <alignment vertical="bottom"/>
    </xf>
    <xf borderId="9" fillId="25" fontId="1" numFmtId="0" xfId="0" applyAlignment="1" applyBorder="1" applyFill="1" applyFont="1">
      <alignment vertical="bottom"/>
    </xf>
    <xf borderId="20" fillId="25" fontId="188" numFmtId="0" xfId="0" applyAlignment="1" applyBorder="1" applyFont="1">
      <alignment horizontal="center" vertical="center"/>
    </xf>
    <xf borderId="181" fillId="0" fontId="40" numFmtId="0" xfId="0" applyAlignment="1" applyBorder="1" applyFont="1">
      <alignment horizontal="right" vertical="center"/>
    </xf>
    <xf borderId="182" fillId="0" fontId="4" numFmtId="0" xfId="0" applyAlignment="1" applyBorder="1" applyFont="1">
      <alignment vertical="center"/>
    </xf>
    <xf borderId="183" fillId="0" fontId="40" numFmtId="0" xfId="0" applyAlignment="1" applyBorder="1" applyFont="1">
      <alignment horizontal="left" vertical="center"/>
    </xf>
    <xf borderId="184" fillId="0" fontId="4" numFmtId="0" xfId="0" applyAlignment="1" applyBorder="1" applyFont="1">
      <alignment vertical="center"/>
    </xf>
    <xf borderId="185" fillId="0" fontId="4" numFmtId="0" xfId="0" applyAlignment="1" applyBorder="1" applyFont="1">
      <alignment vertical="center"/>
    </xf>
    <xf borderId="186" fillId="0" fontId="40" numFmtId="0" xfId="0" applyAlignment="1" applyBorder="1" applyFont="1">
      <alignment horizontal="right" vertical="center"/>
    </xf>
    <xf borderId="187" fillId="0" fontId="4" numFmtId="0" xfId="0" applyAlignment="1" applyBorder="1" applyFont="1">
      <alignment vertical="center"/>
    </xf>
    <xf borderId="188" fillId="0" fontId="40" numFmtId="0" xfId="0" applyAlignment="1" applyBorder="1" applyFont="1">
      <alignment horizontal="left" vertical="center"/>
    </xf>
    <xf borderId="189" fillId="0" fontId="4" numFmtId="0" xfId="0" applyAlignment="1" applyBorder="1" applyFont="1">
      <alignment vertical="center"/>
    </xf>
    <xf borderId="190" fillId="0" fontId="4" numFmtId="0" xfId="0" applyAlignment="1" applyBorder="1" applyFont="1">
      <alignment vertical="center"/>
    </xf>
    <xf borderId="191" fillId="0" fontId="40" numFmtId="0" xfId="0" applyAlignment="1" applyBorder="1" applyFont="1">
      <alignment horizontal="right" vertical="center"/>
    </xf>
    <xf borderId="192" fillId="0" fontId="4" numFmtId="0" xfId="0" applyAlignment="1" applyBorder="1" applyFont="1">
      <alignment vertical="center"/>
    </xf>
    <xf borderId="193" fillId="0" fontId="40" numFmtId="0" xfId="0" applyAlignment="1" applyBorder="1" applyFont="1">
      <alignment horizontal="left" vertical="center"/>
    </xf>
    <xf borderId="194" fillId="0" fontId="4" numFmtId="0" xfId="0" applyAlignment="1" applyBorder="1" applyFont="1">
      <alignment vertical="center"/>
    </xf>
    <xf borderId="193" fillId="0" fontId="40" numFmtId="0" xfId="0" applyAlignment="1" applyBorder="1" applyFont="1">
      <alignment horizontal="center" vertical="bottom"/>
    </xf>
    <xf borderId="195" fillId="0" fontId="4" numFmtId="0" xfId="0" applyAlignment="1" applyBorder="1" applyFont="1">
      <alignment vertical="center"/>
    </xf>
    <xf borderId="9" fillId="25" fontId="40" numFmtId="0" xfId="0" applyAlignment="1" applyBorder="1" applyFont="1">
      <alignment vertical="bottom"/>
    </xf>
    <xf borderId="181" fillId="0" fontId="22" numFmtId="0" xfId="0" applyAlignment="1" applyBorder="1" applyFont="1">
      <alignment horizontal="center" vertical="bottom"/>
    </xf>
    <xf borderId="196" fillId="0" fontId="4" numFmtId="0" xfId="0" applyAlignment="1" applyBorder="1" applyFont="1">
      <alignment vertical="center"/>
    </xf>
    <xf borderId="183" fillId="0" fontId="22" numFmtId="0" xfId="0" applyAlignment="1" applyBorder="1" applyFont="1">
      <alignment horizontal="center" vertical="bottom"/>
    </xf>
    <xf borderId="197" fillId="20" fontId="12" numFmtId="0" xfId="0" applyAlignment="1" applyBorder="1" applyFont="1">
      <alignment horizontal="left" vertical="top"/>
    </xf>
    <xf borderId="198" fillId="0" fontId="4" numFmtId="0" xfId="0" applyAlignment="1" applyBorder="1" applyFont="1">
      <alignment vertical="center"/>
    </xf>
    <xf borderId="199" fillId="0" fontId="4" numFmtId="0" xfId="0" applyAlignment="1" applyBorder="1" applyFont="1">
      <alignment vertical="center"/>
    </xf>
    <xf borderId="188" fillId="0" fontId="116" numFmtId="1" xfId="0" applyAlignment="1" applyBorder="1" applyFont="1" applyNumberFormat="1">
      <alignment horizontal="center" vertical="bottom"/>
    </xf>
    <xf borderId="200" fillId="20" fontId="12" numFmtId="0" xfId="0" applyAlignment="1" applyBorder="1" applyFont="1">
      <alignment horizontal="left" vertical="top"/>
    </xf>
    <xf borderId="201" fillId="0" fontId="4" numFmtId="0" xfId="0" applyAlignment="1" applyBorder="1" applyFont="1">
      <alignment vertical="center"/>
    </xf>
    <xf borderId="202" fillId="0" fontId="4" numFmtId="0" xfId="0" applyAlignment="1" applyBorder="1" applyFont="1">
      <alignment vertical="center"/>
    </xf>
    <xf borderId="188" fillId="0" fontId="86" numFmtId="1" xfId="0" applyAlignment="1" applyBorder="1" applyFont="1" applyNumberFormat="1">
      <alignment horizontal="center" vertical="bottom"/>
    </xf>
    <xf borderId="186" fillId="0" fontId="22" numFmtId="0" xfId="0" applyAlignment="1" applyBorder="1" applyFont="1">
      <alignment horizontal="center" vertical="bottom"/>
    </xf>
    <xf borderId="203" fillId="0" fontId="4" numFmtId="0" xfId="0" applyAlignment="1" applyBorder="1" applyFont="1">
      <alignment vertical="center"/>
    </xf>
    <xf borderId="188" fillId="0" fontId="22" numFmtId="0" xfId="0" applyAlignment="1" applyBorder="1" applyFont="1">
      <alignment horizontal="center" vertical="bottom"/>
    </xf>
    <xf borderId="204" fillId="0" fontId="156" numFmtId="0" xfId="0" applyAlignment="1" applyBorder="1" applyFont="1">
      <alignment horizontal="center" vertical="bottom"/>
    </xf>
    <xf borderId="205" fillId="0" fontId="4" numFmtId="0" xfId="0" applyAlignment="1" applyBorder="1" applyFont="1">
      <alignment vertical="center"/>
    </xf>
    <xf borderId="206" fillId="0" fontId="4" numFmtId="0" xfId="0" applyAlignment="1" applyBorder="1" applyFont="1">
      <alignment vertical="center"/>
    </xf>
    <xf borderId="191" fillId="20" fontId="12" numFmtId="0" xfId="0" applyAlignment="1" applyBorder="1" applyFont="1">
      <alignment horizontal="left" shrinkToFit="0" vertical="top" wrapText="1"/>
    </xf>
    <xf borderId="193" fillId="26" fontId="55" numFmtId="1" xfId="0" applyAlignment="1" applyBorder="1" applyFill="1" applyFont="1" applyNumberFormat="1">
      <alignment horizontal="center" vertical="center"/>
    </xf>
    <xf borderId="0" fillId="0" fontId="57" numFmtId="0" xfId="0" applyAlignment="1" applyFont="1">
      <alignment vertical="center"/>
    </xf>
    <xf borderId="0" fillId="0" fontId="12" numFmtId="0" xfId="0" applyAlignment="1" applyFont="1">
      <alignment horizontal="center" vertical="center"/>
    </xf>
    <xf borderId="0" fillId="0" fontId="149" numFmtId="0" xfId="0" applyAlignment="1" applyFont="1">
      <alignment horizontal="left" shrinkToFit="0" vertical="top" wrapText="1"/>
    </xf>
    <xf borderId="94" fillId="0" fontId="1" numFmtId="0" xfId="0" applyAlignment="1" applyBorder="1" applyFont="1">
      <alignment horizontal="right" vertical="center"/>
    </xf>
    <xf borderId="94" fillId="0" fontId="12" numFmtId="0" xfId="0" applyAlignment="1" applyBorder="1" applyFont="1">
      <alignment horizontal="left" vertical="center"/>
    </xf>
    <xf borderId="94" fillId="0" fontId="1" numFmtId="0" xfId="0" applyAlignment="1" applyBorder="1" applyFont="1">
      <alignment horizontal="center" vertical="bottom"/>
    </xf>
    <xf borderId="94" fillId="0" fontId="149" numFmtId="0" xfId="0" applyAlignment="1" applyBorder="1" applyFont="1">
      <alignment horizontal="left" shrinkToFit="0" vertical="top" wrapText="1"/>
    </xf>
    <xf borderId="94" fillId="0" fontId="152" numFmtId="0" xfId="0" applyAlignment="1" applyBorder="1" applyFont="1">
      <alignment horizontal="left" shrinkToFit="0" vertical="top" wrapText="1"/>
    </xf>
    <xf borderId="94" fillId="0" fontId="48" numFmtId="1" xfId="0" applyAlignment="1" applyBorder="1" applyFont="1" applyNumberFormat="1">
      <alignment horizontal="center" vertical="center"/>
    </xf>
    <xf borderId="94" fillId="0" fontId="1" numFmtId="0" xfId="0" applyAlignment="1" applyBorder="1" applyFont="1">
      <alignment horizontal="center" vertical="center"/>
    </xf>
    <xf borderId="0" fillId="0" fontId="189" numFmtId="0" xfId="0" applyAlignment="1" applyFont="1">
      <alignment horizontal="center" vertical="center"/>
    </xf>
    <xf borderId="0" fillId="0" fontId="1" numFmtId="0" xfId="0" applyAlignment="1" applyFont="1">
      <alignment horizontal="right" vertical="top"/>
    </xf>
    <xf borderId="0" fillId="0" fontId="13" numFmtId="0" xfId="0" applyAlignment="1" applyFont="1">
      <alignment horizontal="center" vertical="top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center" vertical="top"/>
    </xf>
    <xf borderId="0" fillId="0" fontId="1" numFmtId="167" xfId="0" applyAlignment="1" applyFont="1" applyNumberFormat="1">
      <alignment horizontal="center" vertical="top"/>
    </xf>
    <xf borderId="0" fillId="0" fontId="1" numFmtId="167" xfId="0" applyAlignment="1" applyFont="1" applyNumberFormat="1">
      <alignment horizontal="center" vertical="bottom"/>
    </xf>
    <xf borderId="0" fillId="0" fontId="170" numFmtId="0" xfId="0" applyAlignment="1" applyFont="1">
      <alignment horizontal="center" vertical="bottom"/>
    </xf>
    <xf borderId="0" fillId="0" fontId="145" numFmtId="0" xfId="0" applyAlignment="1" applyFont="1">
      <alignment horizontal="center" vertical="center"/>
    </xf>
    <xf borderId="0" fillId="0" fontId="13" numFmtId="0" xfId="0" applyAlignment="1" applyFont="1">
      <alignment horizontal="center" vertical="center"/>
    </xf>
    <xf borderId="94" fillId="0" fontId="148" numFmtId="0" xfId="0" applyAlignment="1" applyBorder="1" applyFont="1">
      <alignment horizontal="left" vertical="top"/>
    </xf>
    <xf borderId="94" fillId="0" fontId="12" numFmtId="1" xfId="0" applyAlignment="1" applyBorder="1" applyFont="1" applyNumberFormat="1">
      <alignment horizontal="center" vertical="center"/>
    </xf>
    <xf borderId="0" fillId="0" fontId="44" numFmtId="0" xfId="0" applyAlignment="1" applyFont="1">
      <alignment horizontal="left" shrinkToFit="0" vertical="center" wrapText="1"/>
    </xf>
    <xf borderId="94" fillId="0" fontId="148" numFmtId="0" xfId="0" applyAlignment="1" applyBorder="1" applyFont="1">
      <alignment horizontal="left" shrinkToFit="0" vertical="top" wrapText="1"/>
    </xf>
    <xf borderId="0" fillId="0" fontId="190" numFmtId="0" xfId="0" applyAlignment="1" applyFont="1">
      <alignment vertical="bottom"/>
    </xf>
    <xf borderId="94" fillId="0" fontId="181" numFmtId="0" xfId="0" applyAlignment="1" applyBorder="1" applyFont="1">
      <alignment horizontal="center" vertical="center"/>
    </xf>
    <xf borderId="94" fillId="0" fontId="12" numFmtId="0" xfId="0" applyAlignment="1" applyBorder="1" applyFont="1">
      <alignment horizontal="center" vertical="center"/>
    </xf>
    <xf borderId="94" fillId="0" fontId="46" numFmtId="0" xfId="0" applyAlignment="1" applyBorder="1" applyFont="1">
      <alignment horizontal="center" vertical="center"/>
    </xf>
    <xf borderId="94" fillId="0" fontId="55" numFmtId="0" xfId="0" applyAlignment="1" applyBorder="1" applyFont="1">
      <alignment horizontal="center" vertical="center"/>
    </xf>
    <xf borderId="94" fillId="0" fontId="13" numFmtId="0" xfId="0" applyAlignment="1" applyBorder="1" applyFont="1">
      <alignment horizontal="center" vertical="center"/>
    </xf>
    <xf borderId="0" fillId="0" fontId="1" numFmtId="0" xfId="0" applyAlignment="1" applyFont="1">
      <alignment shrinkToFit="0" vertical="center" wrapText="1"/>
    </xf>
    <xf borderId="94" fillId="0" fontId="152" numFmtId="0" xfId="0" applyAlignment="1" applyBorder="1" applyFont="1">
      <alignment horizontal="center" shrinkToFit="0" vertical="center" wrapText="1"/>
    </xf>
    <xf borderId="94" fillId="0" fontId="13" numFmtId="1" xfId="0" applyAlignment="1" applyBorder="1" applyFont="1" applyNumberFormat="1">
      <alignment horizontal="center" vertical="center"/>
    </xf>
    <xf borderId="0" fillId="0" fontId="35" numFmtId="0" xfId="0" applyAlignment="1" applyFont="1">
      <alignment vertical="center"/>
    </xf>
    <xf borderId="0" fillId="0" fontId="190" numFmtId="0" xfId="0" applyAlignment="1" applyFont="1">
      <alignment vertical="center"/>
    </xf>
    <xf borderId="94" fillId="0" fontId="22" numFmtId="1" xfId="0" applyAlignment="1" applyBorder="1" applyFont="1" applyNumberFormat="1">
      <alignment horizontal="center" vertical="center"/>
    </xf>
    <xf borderId="94" fillId="0" fontId="116" numFmtId="0" xfId="0" applyAlignment="1" applyBorder="1" applyFont="1">
      <alignment horizontal="center" vertical="center"/>
    </xf>
    <xf borderId="0" fillId="0" fontId="85" numFmtId="0" xfId="0" applyAlignment="1" applyFont="1">
      <alignment horizontal="center" shrinkToFit="0" vertical="center" wrapText="1"/>
    </xf>
    <xf borderId="0" fillId="0" fontId="149" numFmtId="0" xfId="0" applyAlignment="1" applyFont="1">
      <alignment horizontal="center" shrinkToFit="0" vertical="center" wrapText="1"/>
    </xf>
    <xf borderId="0" fillId="0" fontId="191" numFmtId="0" xfId="0" applyAlignment="1" applyFont="1">
      <alignment horizontal="center" shrinkToFit="0" vertical="center" wrapText="1"/>
    </xf>
    <xf borderId="207" fillId="10" fontId="192" numFmtId="0" xfId="0" applyAlignment="1" applyBorder="1" applyFont="1">
      <alignment horizontal="center" shrinkToFit="0" vertical="center" wrapText="1"/>
    </xf>
    <xf borderId="208" fillId="0" fontId="4" numFmtId="0" xfId="0" applyAlignment="1" applyBorder="1" applyFont="1">
      <alignment vertical="center"/>
    </xf>
    <xf borderId="209" fillId="0" fontId="4" numFmtId="0" xfId="0" applyAlignment="1" applyBorder="1" applyFont="1">
      <alignment vertical="center"/>
    </xf>
    <xf borderId="210" fillId="27" fontId="193" numFmtId="0" xfId="0" applyAlignment="1" applyBorder="1" applyFill="1" applyFont="1">
      <alignment horizontal="center" shrinkToFit="0" vertical="center" wrapText="1"/>
    </xf>
    <xf borderId="211" fillId="0" fontId="4" numFmtId="0" xfId="0" applyAlignment="1" applyBorder="1" applyFont="1">
      <alignment vertical="center"/>
    </xf>
    <xf borderId="212" fillId="0" fontId="4" numFmtId="0" xfId="0" applyAlignment="1" applyBorder="1" applyFont="1">
      <alignment vertical="center"/>
    </xf>
    <xf borderId="207" fillId="0" fontId="191" numFmtId="0" xfId="0" applyAlignment="1" applyBorder="1" applyFont="1">
      <alignment horizontal="center" shrinkToFit="0" vertical="center" wrapText="1"/>
    </xf>
    <xf borderId="213" fillId="27" fontId="193" numFmtId="0" xfId="0" applyAlignment="1" applyBorder="1" applyFont="1">
      <alignment horizontal="center" shrinkToFit="0" vertical="center" wrapText="1"/>
    </xf>
    <xf borderId="214" fillId="0" fontId="4" numFmtId="0" xfId="0" applyAlignment="1" applyBorder="1" applyFont="1">
      <alignment vertical="center"/>
    </xf>
    <xf borderId="215" fillId="0" fontId="4" numFmtId="0" xfId="0" applyAlignment="1" applyBorder="1" applyFont="1">
      <alignment vertical="center"/>
    </xf>
    <xf borderId="207" fillId="0" fontId="194" numFmtId="0" xfId="0" applyAlignment="1" applyBorder="1" applyFont="1">
      <alignment horizontal="center" shrinkToFit="0" vertical="center" wrapText="1"/>
    </xf>
    <xf borderId="207" fillId="27" fontId="192" numFmtId="3" xfId="0" applyAlignment="1" applyBorder="1" applyFont="1" applyNumberFormat="1">
      <alignment horizontal="center" shrinkToFit="0" vertical="center" wrapText="1"/>
    </xf>
    <xf borderId="207" fillId="0" fontId="195" numFmtId="0" xfId="0" applyAlignment="1" applyBorder="1" applyFont="1">
      <alignment horizontal="center" shrinkToFit="0" vertical="center" wrapText="1"/>
    </xf>
    <xf borderId="207" fillId="0" fontId="196" numFmtId="0" xfId="0" applyAlignment="1" applyBorder="1" applyFont="1">
      <alignment horizontal="center" shrinkToFit="0" vertical="center" wrapText="1"/>
    </xf>
    <xf borderId="216" fillId="0" fontId="195" numFmtId="0" xfId="0" applyAlignment="1" applyBorder="1" applyFont="1">
      <alignment horizontal="center" shrinkToFit="0" vertical="center" wrapText="1"/>
    </xf>
    <xf borderId="207" fillId="9" fontId="195" numFmtId="0" xfId="0" applyAlignment="1" applyBorder="1" applyFont="1">
      <alignment horizontal="center" shrinkToFit="0" vertical="center" wrapText="1"/>
    </xf>
    <xf borderId="217" fillId="0" fontId="192" numFmtId="49" xfId="0" applyAlignment="1" applyBorder="1" applyFont="1" applyNumberFormat="1">
      <alignment horizontal="center" shrinkToFit="0" vertical="center" wrapText="1"/>
    </xf>
    <xf borderId="218" fillId="0" fontId="4" numFmtId="0" xfId="0" applyAlignment="1" applyBorder="1" applyFont="1">
      <alignment vertical="center"/>
    </xf>
    <xf borderId="216" fillId="9" fontId="195" numFmtId="0" xfId="0" applyAlignment="1" applyBorder="1" applyFont="1">
      <alignment horizontal="center" shrinkToFit="0" vertical="center" wrapText="1"/>
    </xf>
    <xf borderId="219" fillId="0" fontId="4" numFmtId="0" xfId="0" applyAlignment="1" applyBorder="1" applyFont="1">
      <alignment vertical="center"/>
    </xf>
    <xf borderId="220" fillId="0" fontId="4" numFmtId="0" xfId="0" applyAlignment="1" applyBorder="1" applyFont="1">
      <alignment vertical="center"/>
    </xf>
    <xf borderId="207" fillId="0" fontId="195" numFmtId="49" xfId="0" applyAlignment="1" applyBorder="1" applyFont="1" applyNumberFormat="1">
      <alignment horizontal="center" shrinkToFit="0" vertical="center" wrapText="1"/>
    </xf>
    <xf borderId="216" fillId="0" fontId="194" numFmtId="0" xfId="0" applyAlignment="1" applyBorder="1" applyFont="1">
      <alignment horizontal="center" shrinkToFit="0" vertical="center" wrapText="1"/>
    </xf>
    <xf borderId="207" fillId="0" fontId="197" numFmtId="0" xfId="0" applyAlignment="1" applyBorder="1" applyFont="1">
      <alignment horizontal="center" shrinkToFit="0" vertical="center" wrapText="1"/>
    </xf>
    <xf borderId="216" fillId="0" fontId="1" numFmtId="0" xfId="0" applyAlignment="1" applyBorder="1" applyFont="1">
      <alignment horizontal="center" vertical="center"/>
    </xf>
    <xf borderId="207" fillId="0" fontId="198" numFmtId="49" xfId="0" applyAlignment="1" applyBorder="1" applyFont="1" applyNumberFormat="1">
      <alignment horizontal="center" shrinkToFit="0" vertical="center" wrapText="1"/>
    </xf>
    <xf borderId="216" fillId="23" fontId="194" numFmtId="169" xfId="0" applyAlignment="1" applyBorder="1" applyFont="1" applyNumberFormat="1">
      <alignment horizontal="center" shrinkToFit="0" vertical="center" wrapText="1"/>
    </xf>
    <xf borderId="207" fillId="28" fontId="197" numFmtId="169" xfId="0" applyAlignment="1" applyBorder="1" applyFill="1" applyFont="1" applyNumberFormat="1">
      <alignment horizontal="center" shrinkToFit="0" vertical="center" wrapText="1"/>
    </xf>
    <xf borderId="207" fillId="0" fontId="194" numFmtId="169" xfId="0" applyAlignment="1" applyBorder="1" applyFont="1" applyNumberFormat="1">
      <alignment horizontal="center" shrinkToFit="0" vertical="center" wrapText="1"/>
    </xf>
    <xf borderId="216" fillId="0" fontId="156" numFmtId="0" xfId="0" applyAlignment="1" applyBorder="1" applyFont="1">
      <alignment horizontal="center" vertical="center"/>
    </xf>
    <xf borderId="216" fillId="0" fontId="195" numFmtId="169" xfId="0" applyAlignment="1" applyBorder="1" applyFont="1" applyNumberFormat="1">
      <alignment horizontal="center" shrinkToFit="0" vertical="center" wrapText="1"/>
    </xf>
    <xf borderId="207" fillId="0" fontId="195" numFmtId="169" xfId="0" applyAlignment="1" applyBorder="1" applyFont="1" applyNumberFormat="1">
      <alignment horizontal="center" shrinkToFit="0" vertical="center" wrapText="1"/>
    </xf>
    <xf borderId="217" fillId="0" fontId="195" numFmtId="0" xfId="0" applyAlignment="1" applyBorder="1" applyFont="1">
      <alignment horizontal="center" shrinkToFit="0" vertical="center" wrapText="1"/>
    </xf>
    <xf borderId="221" fillId="0" fontId="4" numFmtId="0" xfId="0" applyAlignment="1" applyBorder="1" applyFont="1">
      <alignment vertical="center"/>
    </xf>
    <xf borderId="222" fillId="0" fontId="195" numFmtId="0" xfId="0" applyAlignment="1" applyBorder="1" applyFont="1">
      <alignment horizontal="center" shrinkToFit="0" vertical="center" wrapText="1"/>
    </xf>
    <xf borderId="223" fillId="0" fontId="4" numFmtId="0" xfId="0" applyAlignment="1" applyBorder="1" applyFont="1">
      <alignment vertical="center"/>
    </xf>
    <xf borderId="81" fillId="10" fontId="193" numFmtId="0" xfId="0" applyAlignment="1" applyBorder="1" applyFont="1">
      <alignment horizontal="center" shrinkToFit="0" vertical="center" wrapText="1"/>
    </xf>
    <xf borderId="75" fillId="10" fontId="195" numFmtId="0" xfId="0" applyAlignment="1" applyBorder="1" applyFont="1">
      <alignment horizontal="center" shrinkToFit="0" vertical="center" wrapText="1"/>
    </xf>
    <xf borderId="72" fillId="10" fontId="195" numFmtId="0" xfId="0" applyAlignment="1" applyBorder="1" applyFont="1">
      <alignment horizontal="center" shrinkToFit="0" vertical="center" wrapText="1"/>
    </xf>
    <xf borderId="71" fillId="10" fontId="195" numFmtId="0" xfId="0" applyAlignment="1" applyBorder="1" applyFont="1">
      <alignment horizontal="center" shrinkToFit="0" vertical="center" wrapText="1"/>
    </xf>
    <xf borderId="71" fillId="0" fontId="198" numFmtId="0" xfId="0" applyAlignment="1" applyBorder="1" applyFont="1">
      <alignment horizontal="center" shrinkToFit="0" vertical="center" wrapText="1"/>
    </xf>
    <xf borderId="72" fillId="0" fontId="198" numFmtId="169" xfId="0" applyAlignment="1" applyBorder="1" applyFont="1" applyNumberFormat="1">
      <alignment horizontal="center" shrinkToFit="0" vertical="center" wrapText="1"/>
    </xf>
    <xf borderId="71" fillId="0" fontId="198" numFmtId="49" xfId="0" applyAlignment="1" applyBorder="1" applyFont="1" applyNumberFormat="1">
      <alignment horizontal="center" shrinkToFit="0" vertical="center" wrapText="1"/>
    </xf>
    <xf borderId="72" fillId="0" fontId="198" numFmtId="49" xfId="0" applyAlignment="1" applyBorder="1" applyFont="1" applyNumberFormat="1">
      <alignment horizontal="center" shrinkToFit="0" vertical="center" wrapText="1"/>
    </xf>
    <xf borderId="72" fillId="0" fontId="198" numFmtId="0" xfId="0" applyAlignment="1" applyBorder="1" applyFont="1">
      <alignment horizontal="center" shrinkToFit="0" vertical="center" wrapText="1"/>
    </xf>
    <xf borderId="71" fillId="0" fontId="193" numFmtId="0" xfId="0" applyAlignment="1" applyBorder="1" applyFont="1">
      <alignment shrinkToFit="0" vertical="center" wrapText="1"/>
    </xf>
    <xf borderId="72" fillId="0" fontId="193" numFmtId="169" xfId="0" applyAlignment="1" applyBorder="1" applyFont="1" applyNumberFormat="1">
      <alignment horizontal="center" shrinkToFit="0" vertical="center" wrapText="1"/>
    </xf>
    <xf borderId="72" fillId="0" fontId="193" numFmtId="0" xfId="0" applyAlignment="1" applyBorder="1" applyFont="1">
      <alignment horizontal="center" shrinkToFit="0" vertical="center" wrapText="1"/>
    </xf>
    <xf borderId="72" fillId="0" fontId="195" numFmtId="0" xfId="0" applyAlignment="1" applyBorder="1" applyFont="1">
      <alignment horizontal="center" shrinkToFit="0" vertical="center" wrapText="1"/>
    </xf>
    <xf borderId="75" fillId="0" fontId="196" numFmtId="0" xfId="0" applyAlignment="1" applyBorder="1" applyFont="1">
      <alignment horizontal="center" shrinkToFit="0" vertical="center" wrapText="1"/>
    </xf>
    <xf borderId="224" fillId="10" fontId="196" numFmtId="0" xfId="0" applyAlignment="1" applyBorder="1" applyFont="1">
      <alignment horizontal="center" shrinkToFit="0" vertical="center" wrapText="1"/>
    </xf>
    <xf borderId="225" fillId="10" fontId="193" numFmtId="0" xfId="0" applyAlignment="1" applyBorder="1" applyFont="1">
      <alignment horizontal="center" shrinkToFit="0" vertical="center" wrapText="1"/>
    </xf>
    <xf borderId="226" fillId="0" fontId="4" numFmtId="0" xfId="0" applyAlignment="1" applyBorder="1" applyFont="1">
      <alignment vertical="center"/>
    </xf>
    <xf borderId="227" fillId="10" fontId="196" numFmtId="0" xfId="0" applyAlignment="1" applyBorder="1" applyFont="1">
      <alignment horizontal="center" shrinkToFit="0" vertical="center" wrapText="1"/>
    </xf>
    <xf borderId="228" fillId="0" fontId="4" numFmtId="0" xfId="0" applyAlignment="1" applyBorder="1" applyFont="1">
      <alignment vertical="center"/>
    </xf>
    <xf borderId="229" fillId="0" fontId="4" numFmtId="0" xfId="0" applyAlignment="1" applyBorder="1" applyFont="1">
      <alignment vertical="center"/>
    </xf>
    <xf borderId="230" fillId="0" fontId="4" numFmtId="0" xfId="0" applyAlignment="1" applyBorder="1" applyFont="1">
      <alignment vertical="center"/>
    </xf>
    <xf borderId="231" fillId="0" fontId="4" numFmtId="0" xfId="0" applyAlignment="1" applyBorder="1" applyFont="1">
      <alignment vertical="center"/>
    </xf>
    <xf borderId="232" fillId="0" fontId="4" numFmtId="0" xfId="0" applyAlignment="1" applyBorder="1" applyFont="1">
      <alignment vertical="center"/>
    </xf>
    <xf borderId="233" fillId="0" fontId="198" numFmtId="0" xfId="0" applyAlignment="1" applyBorder="1" applyFont="1">
      <alignment horizontal="center" shrinkToFit="0" vertical="center" wrapText="1"/>
    </xf>
    <xf borderId="227" fillId="0" fontId="198" numFmtId="0" xfId="0" applyAlignment="1" applyBorder="1" applyFont="1">
      <alignment horizontal="center" shrinkToFit="0" vertical="center" wrapText="1"/>
    </xf>
    <xf borderId="227" fillId="0" fontId="198" numFmtId="49" xfId="0" applyAlignment="1" applyBorder="1" applyFont="1" applyNumberFormat="1">
      <alignment horizontal="center" shrinkToFit="0" vertical="center" wrapText="1"/>
    </xf>
    <xf borderId="227" fillId="0" fontId="1" numFmtId="0" xfId="0" applyAlignment="1" applyBorder="1" applyFont="1">
      <alignment horizontal="center" vertical="bottom"/>
    </xf>
    <xf borderId="227" fillId="0" fontId="150" numFmtId="49" xfId="0" applyAlignment="1" applyBorder="1" applyFont="1" applyNumberFormat="1">
      <alignment horizontal="center" vertical="bottom"/>
    </xf>
    <xf borderId="233" fillId="0" fontId="193" numFmtId="0" xfId="0" applyAlignment="1" applyBorder="1" applyFont="1">
      <alignment horizontal="center" shrinkToFit="0" vertical="center" wrapText="1"/>
    </xf>
    <xf borderId="227" fillId="0" fontId="193" numFmtId="0" xfId="0" applyAlignment="1" applyBorder="1" applyFont="1">
      <alignment horizontal="center" shrinkToFit="0" vertical="center" wrapText="1"/>
    </xf>
    <xf borderId="0" fillId="0" fontId="193" numFmtId="0" xfId="0" applyAlignment="1" applyFont="1">
      <alignment horizontal="center" shrinkToFit="0" vertical="center" wrapText="1"/>
    </xf>
    <xf borderId="0" fillId="0" fontId="129" numFmtId="0" xfId="0" applyAlignment="1" applyFont="1">
      <alignment horizontal="center" shrinkToFit="0" vertical="bottom" wrapText="1"/>
    </xf>
    <xf borderId="0" fillId="0" fontId="121" numFmtId="0" xfId="0" applyAlignment="1" applyFont="1">
      <alignment horizontal="center" shrinkToFit="0" vertical="center" wrapText="1"/>
    </xf>
    <xf borderId="0" fillId="0" fontId="194" numFmtId="0" xfId="0" applyAlignment="1" applyFont="1">
      <alignment horizontal="center" shrinkToFit="0" vertical="center" wrapText="1"/>
    </xf>
    <xf borderId="0" fillId="0" fontId="199" numFmtId="0" xfId="0" applyAlignment="1" applyFont="1">
      <alignment horizontal="center" shrinkToFit="0" vertical="center" wrapText="1"/>
    </xf>
    <xf borderId="31" fillId="9" fontId="194" numFmtId="0" xfId="0" applyAlignment="1" applyBorder="1" applyFont="1">
      <alignment horizontal="center" shrinkToFit="0" vertical="center" wrapText="1"/>
    </xf>
    <xf borderId="0" fillId="0" fontId="199" numFmtId="0" xfId="0" applyAlignment="1" applyFont="1">
      <alignment horizontal="left" shrinkToFit="0" vertical="center" wrapText="1"/>
    </xf>
    <xf borderId="0" fillId="0" fontId="121" numFmtId="0" xfId="0" applyAlignment="1" applyFont="1">
      <alignment horizontal="left" shrinkToFit="0" vertical="center" wrapText="1"/>
    </xf>
    <xf borderId="0" fillId="0" fontId="200" numFmtId="0" xfId="0" applyAlignment="1" applyFont="1">
      <alignment horizontal="right" shrinkToFit="0" vertical="center" wrapText="1"/>
    </xf>
    <xf borderId="0" fillId="0" fontId="197" numFmtId="2" xfId="0" applyAlignment="1" applyFont="1" applyNumberFormat="1">
      <alignment horizontal="center" shrinkToFit="0" vertical="center" wrapText="1"/>
    </xf>
    <xf borderId="0" fillId="0" fontId="195" numFmtId="0" xfId="0" applyAlignment="1" applyFont="1">
      <alignment horizontal="center" shrinkToFit="0" vertical="center" wrapText="1"/>
    </xf>
    <xf borderId="31" fillId="13" fontId="195" numFmtId="167" xfId="0" applyAlignment="1" applyBorder="1" applyFont="1" applyNumberFormat="1">
      <alignment horizontal="center" shrinkToFit="0" vertical="center" wrapText="1"/>
    </xf>
    <xf borderId="0" fillId="0" fontId="201" numFmtId="0" xfId="0" applyAlignment="1" applyFont="1">
      <alignment horizontal="center" shrinkToFit="0" vertical="center" wrapText="1"/>
    </xf>
    <xf borderId="0" fillId="0" fontId="195" numFmtId="0" xfId="0" applyAlignment="1" applyFont="1">
      <alignment horizontal="right" shrinkToFit="0" vertical="center" wrapText="1"/>
    </xf>
    <xf borderId="0" fillId="0" fontId="194" numFmtId="0" xfId="0" applyAlignment="1" applyFont="1">
      <alignment horizontal="left" shrinkToFit="0" vertical="center" wrapText="1"/>
    </xf>
    <xf borderId="0" fillId="0" fontId="74" numFmtId="0" xfId="0" applyAlignment="1" applyFont="1">
      <alignment horizontal="center" shrinkToFit="0" vertical="center" wrapText="1"/>
    </xf>
    <xf borderId="1" fillId="0" fontId="195" numFmtId="0" xfId="0" applyAlignment="1" applyBorder="1" applyFont="1">
      <alignment horizontal="center" shrinkToFit="0" vertical="center" wrapText="1"/>
    </xf>
    <xf borderId="234" fillId="0" fontId="4" numFmtId="0" xfId="0" applyAlignment="1" applyBorder="1" applyFont="1">
      <alignment vertical="center"/>
    </xf>
    <xf borderId="1" fillId="0" fontId="195" numFmtId="0" xfId="0" applyAlignment="1" applyBorder="1" applyFont="1">
      <alignment horizontal="left" shrinkToFit="0" vertical="center" wrapText="1"/>
    </xf>
    <xf borderId="1" fillId="18" fontId="195" numFmtId="170" xfId="0" applyAlignment="1" applyBorder="1" applyFont="1" applyNumberFormat="1">
      <alignment horizontal="center" shrinkToFit="0" vertical="center" wrapText="1"/>
    </xf>
    <xf borderId="235" fillId="18" fontId="196" numFmtId="170" xfId="0" applyAlignment="1" applyBorder="1" applyFont="1" applyNumberFormat="1">
      <alignment horizontal="right" shrinkToFit="0" vertical="center" wrapText="1"/>
    </xf>
    <xf borderId="236" fillId="0" fontId="4" numFmtId="0" xfId="0" applyAlignment="1" applyBorder="1" applyFont="1">
      <alignment vertical="center"/>
    </xf>
    <xf borderId="235" fillId="18" fontId="125" numFmtId="170" xfId="0" applyAlignment="1" applyBorder="1" applyFont="1" applyNumberFormat="1">
      <alignment horizontal="right" shrinkToFit="0" vertical="center" wrapText="1"/>
    </xf>
    <xf borderId="1" fillId="0" fontId="202" numFmtId="0" xfId="0" applyAlignment="1" applyBorder="1" applyFont="1">
      <alignment horizontal="left" shrinkToFit="0" vertical="center" wrapText="1"/>
    </xf>
    <xf borderId="1" fillId="0" fontId="197" numFmtId="170" xfId="0" applyAlignment="1" applyBorder="1" applyFont="1" applyNumberFormat="1">
      <alignment horizontal="right" shrinkToFit="0" vertical="center" wrapText="1"/>
    </xf>
    <xf borderId="1" fillId="0" fontId="203" numFmtId="0" xfId="0" applyAlignment="1" applyBorder="1" applyFont="1">
      <alignment horizontal="left" shrinkToFit="0" vertical="center" wrapText="1"/>
    </xf>
    <xf borderId="1" fillId="29" fontId="197" numFmtId="170" xfId="0" applyAlignment="1" applyBorder="1" applyFill="1" applyFont="1" applyNumberFormat="1">
      <alignment horizontal="right" shrinkToFit="0" vertical="center" wrapText="1"/>
    </xf>
    <xf borderId="237" fillId="0" fontId="4" numFmtId="0" xfId="0" applyAlignment="1" applyBorder="1" applyFont="1">
      <alignment vertical="center"/>
    </xf>
    <xf borderId="238" fillId="0" fontId="4" numFmtId="0" xfId="0" applyAlignment="1" applyBorder="1" applyFont="1">
      <alignment vertical="center"/>
    </xf>
    <xf borderId="1" fillId="0" fontId="192" numFmtId="0" xfId="0" applyAlignment="1" applyBorder="1" applyFont="1">
      <alignment horizontal="left" shrinkToFit="0" vertical="center" wrapText="1"/>
    </xf>
    <xf borderId="235" fillId="18" fontId="196" numFmtId="170" xfId="0" applyAlignment="1" applyBorder="1" applyFont="1" applyNumberFormat="1">
      <alignment horizontal="center" shrinkToFit="0" vertical="center" wrapText="1"/>
    </xf>
    <xf borderId="1" fillId="0" fontId="196" numFmtId="170" xfId="0" applyAlignment="1" applyBorder="1" applyFont="1" applyNumberFormat="1">
      <alignment horizontal="right" shrinkToFit="0" vertical="center" wrapText="1"/>
    </xf>
    <xf borderId="235" fillId="18" fontId="197" numFmtId="170" xfId="0" applyAlignment="1" applyBorder="1" applyFont="1" applyNumberFormat="1">
      <alignment horizontal="right" shrinkToFit="0" vertical="center" wrapText="1"/>
    </xf>
    <xf borderId="1" fillId="0" fontId="204" numFmtId="0" xfId="0" applyAlignment="1" applyBorder="1" applyFont="1">
      <alignment horizontal="center" shrinkToFit="0" vertical="center" wrapText="1"/>
    </xf>
    <xf borderId="239" fillId="0" fontId="198" numFmtId="170" xfId="0" applyAlignment="1" applyBorder="1" applyFont="1" applyNumberFormat="1">
      <alignment horizontal="right" shrinkToFit="0" vertical="center" wrapText="1"/>
    </xf>
    <xf borderId="239" fillId="0" fontId="198" numFmtId="0" xfId="0" applyAlignment="1" applyBorder="1" applyFont="1">
      <alignment horizontal="right" shrinkToFit="0" vertical="center" wrapText="1"/>
    </xf>
    <xf borderId="1" fillId="0" fontId="205" numFmtId="0" xfId="0" applyAlignment="1" applyBorder="1" applyFont="1">
      <alignment horizontal="left" shrinkToFit="0" vertical="center" wrapText="1"/>
    </xf>
    <xf borderId="1" fillId="0" fontId="194" numFmtId="0" xfId="0" applyAlignment="1" applyBorder="1" applyFont="1">
      <alignment horizontal="right" shrinkToFit="0" vertical="center" wrapText="1"/>
    </xf>
    <xf borderId="1" fillId="18" fontId="197" numFmtId="170" xfId="0" applyAlignment="1" applyBorder="1" applyFont="1" applyNumberFormat="1">
      <alignment horizontal="center" shrinkToFit="0" vertical="center" wrapText="1"/>
    </xf>
    <xf borderId="1" fillId="29" fontId="197" numFmtId="170" xfId="0" applyAlignment="1" applyBorder="1" applyFont="1" applyNumberFormat="1">
      <alignment horizontal="center" shrinkToFit="0" vertical="center" wrapText="1"/>
    </xf>
    <xf borderId="240" fillId="18" fontId="197" numFmtId="170" xfId="0" applyAlignment="1" applyBorder="1" applyFont="1" applyNumberFormat="1">
      <alignment shrinkToFit="0" vertical="center" wrapText="1"/>
    </xf>
    <xf borderId="241" fillId="18" fontId="197" numFmtId="170" xfId="0" applyAlignment="1" applyBorder="1" applyFont="1" applyNumberFormat="1">
      <alignment shrinkToFit="0" vertical="center" wrapText="1"/>
    </xf>
    <xf borderId="1" fillId="0" fontId="205" numFmtId="0" xfId="0" applyAlignment="1" applyBorder="1" applyFont="1">
      <alignment horizontal="right" shrinkToFit="0" vertical="center" wrapText="1"/>
    </xf>
    <xf borderId="242" fillId="18" fontId="197" numFmtId="170" xfId="0" applyAlignment="1" applyBorder="1" applyFont="1" applyNumberFormat="1">
      <alignment shrinkToFit="0" vertical="center" wrapText="1"/>
    </xf>
    <xf borderId="243" fillId="18" fontId="197" numFmtId="170" xfId="0" applyAlignment="1" applyBorder="1" applyFont="1" applyNumberFormat="1">
      <alignment shrinkToFit="0" vertical="center" wrapText="1"/>
    </xf>
    <xf borderId="1" fillId="0" fontId="195" numFmtId="170" xfId="0" applyAlignment="1" applyBorder="1" applyFont="1" applyNumberFormat="1">
      <alignment horizontal="right" shrinkToFit="0" vertical="center" wrapText="1"/>
    </xf>
    <xf borderId="235" fillId="0" fontId="195" numFmtId="170" xfId="0" applyAlignment="1" applyBorder="1" applyFont="1" applyNumberFormat="1">
      <alignment horizontal="center" shrinkToFit="0" vertical="center" wrapText="1"/>
    </xf>
    <xf borderId="1" fillId="0" fontId="206" numFmtId="0" xfId="0" applyAlignment="1" applyBorder="1" applyFont="1">
      <alignment horizontal="center" shrinkToFit="0" vertical="center" wrapText="1"/>
    </xf>
    <xf borderId="239" fillId="0" fontId="206" numFmtId="0" xfId="0" applyAlignment="1" applyBorder="1" applyFont="1">
      <alignment horizontal="center" shrinkToFit="0" vertical="center" wrapText="1"/>
    </xf>
    <xf borderId="235" fillId="18" fontId="197" numFmtId="170" xfId="0" applyAlignment="1" applyBorder="1" applyFont="1" applyNumberFormat="1">
      <alignment horizontal="center" shrinkToFit="0" vertical="center" wrapText="1"/>
    </xf>
    <xf borderId="7" fillId="0" fontId="195" numFmtId="170" xfId="0" applyAlignment="1" applyBorder="1" applyFont="1" applyNumberFormat="1">
      <alignment shrinkToFit="0" vertical="center" wrapText="1"/>
    </xf>
    <xf borderId="166" fillId="0" fontId="195" numFmtId="170" xfId="0" applyAlignment="1" applyBorder="1" applyFont="1" applyNumberFormat="1">
      <alignment shrinkToFit="0" vertical="center" wrapText="1"/>
    </xf>
    <xf borderId="1" fillId="0" fontId="198" numFmtId="0" xfId="0" applyAlignment="1" applyBorder="1" applyFont="1">
      <alignment horizontal="center" shrinkToFit="0" vertical="center" wrapText="1"/>
    </xf>
    <xf borderId="239" fillId="0" fontId="198" numFmtId="0" xfId="0" applyAlignment="1" applyBorder="1" applyFont="1">
      <alignment horizontal="center" shrinkToFit="0" vertical="center" wrapText="1"/>
    </xf>
    <xf borderId="239" fillId="0" fontId="198" numFmtId="1" xfId="0" applyAlignment="1" applyBorder="1" applyFont="1" applyNumberFormat="1">
      <alignment horizontal="center" shrinkToFit="0" vertical="center" wrapText="1"/>
    </xf>
    <xf borderId="1" fillId="0" fontId="202" numFmtId="0" xfId="0" applyAlignment="1" applyBorder="1" applyFont="1">
      <alignment horizontal="center" shrinkToFit="0" vertical="center" wrapText="1"/>
    </xf>
    <xf borderId="237" fillId="0" fontId="195" numFmtId="170" xfId="0" applyAlignment="1" applyBorder="1" applyFont="1" applyNumberFormat="1">
      <alignment shrinkToFit="0" vertical="center" wrapText="1"/>
    </xf>
    <xf borderId="238" fillId="0" fontId="195" numFmtId="170" xfId="0" applyAlignment="1" applyBorder="1" applyFont="1" applyNumberFormat="1">
      <alignment shrinkToFit="0" vertical="center" wrapText="1"/>
    </xf>
    <xf borderId="1" fillId="10" fontId="192" numFmtId="0" xfId="0" applyAlignment="1" applyBorder="1" applyFont="1">
      <alignment horizontal="left" shrinkToFit="0" vertical="center" wrapText="1"/>
    </xf>
    <xf borderId="1" fillId="10" fontId="129" numFmtId="0" xfId="0" applyAlignment="1" applyBorder="1" applyFont="1">
      <alignment horizontal="center" shrinkToFit="0" vertical="center" wrapText="1"/>
    </xf>
    <xf borderId="1" fillId="10" fontId="195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vertical="center"/>
    </xf>
    <xf borderId="239" fillId="0" fontId="197" numFmtId="0" xfId="0" applyAlignment="1" applyBorder="1" applyFont="1">
      <alignment horizontal="center" shrinkToFit="0" vertical="center" wrapText="1"/>
    </xf>
    <xf borderId="3" fillId="0" fontId="197" numFmtId="0" xfId="0" applyAlignment="1" applyBorder="1" applyFont="1">
      <alignment horizontal="center" shrinkToFit="0" vertical="center" wrapText="1"/>
    </xf>
    <xf borderId="1" fillId="0" fontId="203" numFmtId="0" xfId="0" applyAlignment="1" applyBorder="1" applyFont="1">
      <alignment horizontal="left" vertical="center"/>
    </xf>
    <xf borderId="1" fillId="0" fontId="198" numFmtId="170" xfId="0" applyAlignment="1" applyBorder="1" applyFont="1" applyNumberFormat="1">
      <alignment horizontal="center" shrinkToFit="0" vertical="center" wrapText="1"/>
    </xf>
    <xf borderId="235" fillId="13" fontId="197" numFmtId="170" xfId="0" applyAlignment="1" applyBorder="1" applyFont="1" applyNumberFormat="1">
      <alignment horizontal="center" shrinkToFit="0" vertical="center" wrapText="1"/>
    </xf>
    <xf borderId="235" fillId="13" fontId="198" numFmtId="170" xfId="0" applyAlignment="1" applyBorder="1" applyFont="1" applyNumberFormat="1">
      <alignment horizontal="center" shrinkToFit="0" vertical="center" wrapText="1"/>
    </xf>
    <xf borderId="1" fillId="0" fontId="193" numFmtId="170" xfId="0" applyAlignment="1" applyBorder="1" applyFont="1" applyNumberFormat="1">
      <alignment horizontal="right" shrinkToFit="0" vertical="center" wrapText="1"/>
    </xf>
    <xf borderId="1" fillId="0" fontId="196" numFmtId="170" xfId="0" applyAlignment="1" applyBorder="1" applyFont="1" applyNumberFormat="1">
      <alignment horizontal="center" shrinkToFit="0" vertical="center" wrapText="1"/>
    </xf>
    <xf borderId="1" fillId="0" fontId="170" numFmtId="0" xfId="0" applyAlignment="1" applyBorder="1" applyFont="1">
      <alignment horizontal="center" vertical="center"/>
    </xf>
    <xf borderId="207" fillId="10" fontId="205" numFmtId="0" xfId="0" applyAlignment="1" applyBorder="1" applyFont="1">
      <alignment horizontal="left" shrinkToFit="0" vertical="center" wrapText="1"/>
    </xf>
    <xf borderId="207" fillId="10" fontId="196" numFmtId="0" xfId="0" applyAlignment="1" applyBorder="1" applyFont="1">
      <alignment horizontal="center" shrinkToFit="0" vertical="center" wrapText="1"/>
    </xf>
    <xf borderId="216" fillId="0" fontId="1" numFmtId="0" xfId="0" applyAlignment="1" applyBorder="1" applyFont="1">
      <alignment horizontal="center" vertical="bottom"/>
    </xf>
    <xf borderId="207" fillId="0" fontId="197" numFmtId="170" xfId="0" applyAlignment="1" applyBorder="1" applyFont="1" applyNumberFormat="1">
      <alignment horizontal="center" shrinkToFit="0" vertical="center" wrapText="1"/>
    </xf>
    <xf borderId="207" fillId="0" fontId="196" numFmtId="170" xfId="0" applyAlignment="1" applyBorder="1" applyFont="1" applyNumberFormat="1">
      <alignment horizontal="center" shrinkToFit="0" vertical="center" wrapText="1"/>
    </xf>
    <xf borderId="217" fillId="18" fontId="125" numFmtId="170" xfId="0" applyAlignment="1" applyBorder="1" applyFont="1" applyNumberFormat="1">
      <alignment horizontal="center" shrinkToFit="0" vertical="center" wrapText="1"/>
    </xf>
    <xf borderId="222" fillId="0" fontId="4" numFmtId="0" xfId="0" applyAlignment="1" applyBorder="1" applyFont="1">
      <alignment vertical="center"/>
    </xf>
    <xf borderId="207" fillId="20" fontId="197" numFmtId="170" xfId="0" applyAlignment="1" applyBorder="1" applyFont="1" applyNumberFormat="1">
      <alignment horizontal="center" shrinkToFit="0" vertical="center" wrapText="1"/>
    </xf>
    <xf borderId="207" fillId="0" fontId="195" numFmtId="170" xfId="0" applyAlignment="1" applyBorder="1" applyFont="1" applyNumberFormat="1">
      <alignment horizontal="right" shrinkToFit="0" vertical="center" wrapText="1"/>
    </xf>
    <xf borderId="207" fillId="0" fontId="196" numFmtId="0" xfId="0" applyAlignment="1" applyBorder="1" applyFont="1">
      <alignment horizontal="left" shrinkToFit="0" vertical="center" wrapText="1"/>
    </xf>
    <xf borderId="207" fillId="0" fontId="195" numFmtId="0" xfId="0" applyAlignment="1" applyBorder="1" applyFont="1">
      <alignment horizontal="left" shrinkToFit="0" vertical="center" wrapText="1"/>
    </xf>
    <xf borderId="208" fillId="0" fontId="194" numFmtId="0" xfId="0" applyAlignment="1" applyBorder="1" applyFont="1">
      <alignment horizontal="left" shrinkToFit="0" vertical="center" wrapText="1"/>
    </xf>
    <xf borderId="219" fillId="0" fontId="195" numFmtId="0" xfId="0" applyAlignment="1" applyBorder="1" applyFont="1">
      <alignment horizontal="left" shrinkToFit="0" vertical="center" wrapText="1"/>
    </xf>
    <xf borderId="244" fillId="0" fontId="4" numFmtId="0" xfId="0" applyAlignment="1" applyBorder="1" applyFont="1">
      <alignment vertical="center"/>
    </xf>
    <xf borderId="207" fillId="13" fontId="193" numFmtId="0" xfId="0" applyAlignment="1" applyBorder="1" applyFont="1">
      <alignment horizontal="left" shrinkToFit="0" vertical="center" wrapText="1"/>
    </xf>
    <xf borderId="207" fillId="0" fontId="196" numFmtId="170" xfId="0" applyAlignment="1" applyBorder="1" applyFont="1" applyNumberFormat="1">
      <alignment horizontal="left" shrinkToFit="0" vertical="center" wrapText="1"/>
    </xf>
    <xf borderId="207" fillId="0" fontId="207" numFmtId="0" xfId="0" applyAlignment="1" applyBorder="1" applyFont="1">
      <alignment horizontal="right" vertical="center"/>
    </xf>
    <xf borderId="221" fillId="0" fontId="208" numFmtId="0" xfId="0" applyAlignment="1" applyBorder="1" applyFont="1">
      <alignment horizontal="center" shrinkToFit="0" vertical="center" wrapText="1"/>
    </xf>
    <xf borderId="0" fillId="0" fontId="197" numFmtId="0" xfId="0" applyAlignment="1" applyFont="1">
      <alignment horizontal="center" shrinkToFit="0" vertical="center" wrapText="1"/>
    </xf>
    <xf borderId="0" fillId="0" fontId="199" numFmtId="0" xfId="0" applyAlignment="1" applyFont="1">
      <alignment horizontal="center" shrinkToFit="0" vertical="bottom" wrapText="1"/>
    </xf>
    <xf borderId="0" fillId="0" fontId="197" numFmtId="0" xfId="0" applyAlignment="1" applyFont="1">
      <alignment horizontal="left" shrinkToFit="0" vertical="center" wrapText="1"/>
    </xf>
    <xf borderId="0" fillId="0" fontId="196" numFmtId="1" xfId="0" applyAlignment="1" applyFont="1" applyNumberFormat="1">
      <alignment horizontal="center" shrinkToFit="0" vertical="center" wrapText="1"/>
    </xf>
    <xf borderId="31" fillId="13" fontId="195" numFmtId="0" xfId="0" applyAlignment="1" applyBorder="1" applyFont="1">
      <alignment horizontal="center" shrinkToFit="0" vertical="center" wrapText="1"/>
    </xf>
    <xf borderId="0" fillId="0" fontId="201" numFmtId="0" xfId="0" applyAlignment="1" applyFont="1">
      <alignment horizontal="right" shrinkToFit="0" vertical="center" wrapText="1"/>
    </xf>
  </cellXfs>
  <cellStyles count="1">
    <cellStyle xfId="0" name="Normal" builtinId="0"/>
  </cellStyles>
  <dxfs count="10">
    <dxf>
      <font>
        <color rgb="FFD8D8D8"/>
      </font>
      <fill>
        <patternFill patternType="solid">
          <fgColor rgb="FFD8D8D8"/>
          <bgColor rgb="FFD8D8D8"/>
        </patternFill>
      </fill>
      <border/>
    </dxf>
    <dxf>
      <font>
        <color rgb="FFFFFFFF"/>
      </font>
      <fill>
        <patternFill patternType="none"/>
      </fill>
      <border/>
    </dxf>
    <dxf>
      <font/>
      <fill>
        <patternFill patternType="solid">
          <fgColor rgb="FFF2DBDB"/>
          <bgColor rgb="FFF2DBDB"/>
        </patternFill>
      </fill>
      <border/>
    </dxf>
    <dxf>
      <font>
        <color rgb="FF0F243E"/>
      </font>
      <fill>
        <patternFill patternType="solid">
          <fgColor rgb="FF0F243E"/>
          <bgColor rgb="FF0F243E"/>
        </patternFill>
      </fill>
      <border/>
    </dxf>
    <dxf>
      <font>
        <color rgb="FF0F243E"/>
      </font>
      <fill>
        <patternFill patternType="none"/>
      </fill>
      <border/>
    </dxf>
    <dxf>
      <font>
        <b/>
        <color rgb="FFC00000"/>
      </font>
      <fill>
        <patternFill patternType="none"/>
      </fill>
      <border/>
    </dxf>
    <dxf>
      <font>
        <b/>
        <color rgb="FF0000FF"/>
      </font>
      <fill>
        <patternFill patternType="none"/>
      </fill>
      <border/>
    </dxf>
    <dxf>
      <font>
        <b/>
        <color rgb="FF660033"/>
      </font>
      <fill>
        <patternFill patternType="none"/>
      </fill>
      <border/>
    </dxf>
    <dxf>
      <font/>
      <fill>
        <patternFill patternType="solid">
          <fgColor rgb="FFFDE9D9"/>
          <bgColor rgb="FFFDE9D9"/>
        </patternFill>
      </fill>
      <border/>
    </dxf>
    <dxf>
      <font>
        <b/>
        <color rgb="FFFF0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5" Type="http://schemas.openxmlformats.org/officeDocument/2006/relationships/worksheet" Target="worksheets/sheet2.xml"/><Relationship Id="rId19" Type="http://customschemas.google.com/relationships/workbookmetadata" Target="metadata"/><Relationship Id="rId6" Type="http://schemas.openxmlformats.org/officeDocument/2006/relationships/worksheet" Target="worksheets/sheet3.xml"/><Relationship Id="rId18" Type="http://schemas.openxmlformats.org/officeDocument/2006/relationships/externalLink" Target="externalLinks/externalLink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Relationship Id="rId2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image" Target="../media/image4.jpg"/><Relationship Id="rId3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5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200025</xdr:colOff>
      <xdr:row>14</xdr:row>
      <xdr:rowOff>28575</xdr:rowOff>
    </xdr:from>
    <xdr:ext cx="1752600" cy="809625"/>
    <xdr:sp>
      <xdr:nvSpPr>
        <xdr:cNvPr id="3" name="Shape 3"/>
        <xdr:cNvSpPr/>
      </xdr:nvSpPr>
      <xdr:spPr>
        <a:xfrm>
          <a:off x="4474463" y="3375188"/>
          <a:ext cx="1743075" cy="809625"/>
        </a:xfrm>
        <a:prstGeom prst="leftArrow">
          <a:avLst>
            <a:gd fmla="val 50000" name="adj1"/>
            <a:gd fmla="val 50000" name="adj2"/>
          </a:avLst>
        </a:prstGeom>
        <a:gradFill>
          <a:gsLst>
            <a:gs pos="0">
              <a:srgbClr val="FFA09D"/>
            </a:gs>
            <a:gs pos="35000">
              <a:srgbClr val="FFBBBC"/>
            </a:gs>
            <a:gs pos="100000">
              <a:srgbClr val="FFE2E2"/>
            </a:gs>
          </a:gsLst>
          <a:lin ang="16200000" scaled="0"/>
        </a:gradFill>
        <a:ln cap="flat" cmpd="sng" w="9525">
          <a:solidFill>
            <a:srgbClr val="BD4A46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400">
              <a:solidFill>
                <a:srgbClr val="993300"/>
              </a:solidFill>
              <a:latin typeface="Calibri"/>
              <a:ea typeface="Calibri"/>
              <a:cs typeface="Calibri"/>
              <a:sym typeface="Calibri"/>
            </a:rPr>
            <a:t>Developer</a:t>
          </a:r>
          <a:endParaRPr sz="1400"/>
        </a:p>
      </xdr:txBody>
    </xdr:sp>
    <xdr:clientData fLocksWithSheet="0"/>
  </xdr:oneCellAnchor>
  <xdr:oneCellAnchor>
    <xdr:from>
      <xdr:col>3</xdr:col>
      <xdr:colOff>1028700</xdr:colOff>
      <xdr:row>11</xdr:row>
      <xdr:rowOff>-19050</xdr:rowOff>
    </xdr:from>
    <xdr:ext cx="361950" cy="371475"/>
    <xdr:sp>
      <xdr:nvSpPr>
        <xdr:cNvPr id="4" name="Shape 4"/>
        <xdr:cNvSpPr/>
      </xdr:nvSpPr>
      <xdr:spPr>
        <a:xfrm>
          <a:off x="5179313" y="3608550"/>
          <a:ext cx="333375" cy="342900"/>
        </a:xfrm>
        <a:prstGeom prst="downArrow">
          <a:avLst>
            <a:gd fmla="val 50000" name="adj1"/>
            <a:gd fmla="val 50000" name="adj2"/>
          </a:avLst>
        </a:prstGeom>
        <a:solidFill>
          <a:srgbClr val="F79544"/>
        </a:solidFill>
        <a:ln cap="flat" cmpd="sng" w="25400">
          <a:solidFill>
            <a:srgbClr val="B46B3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19050</xdr:colOff>
      <xdr:row>3</xdr:row>
      <xdr:rowOff>219075</xdr:rowOff>
    </xdr:from>
    <xdr:ext cx="1809750" cy="1714500"/>
    <xdr:pic>
      <xdr:nvPicPr>
        <xdr:cNvPr descr=" "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247650</xdr:colOff>
      <xdr:row>2</xdr:row>
      <xdr:rowOff>552450</xdr:rowOff>
    </xdr:from>
    <xdr:ext cx="1990725" cy="2314575"/>
    <xdr:pic>
      <xdr:nvPicPr>
        <xdr:cNvPr descr="gurudev1.jpg" id="0" name="image1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257175</xdr:colOff>
      <xdr:row>0</xdr:row>
      <xdr:rowOff>38100</xdr:rowOff>
    </xdr:from>
    <xdr:ext cx="2581275" cy="485775"/>
    <xdr:sp>
      <xdr:nvSpPr>
        <xdr:cNvPr id="5" name="Shape 5"/>
        <xdr:cNvSpPr/>
      </xdr:nvSpPr>
      <xdr:spPr>
        <a:xfrm>
          <a:off x="4060125" y="3541875"/>
          <a:ext cx="2571750" cy="476250"/>
        </a:xfrm>
        <a:prstGeom prst="roundRect">
          <a:avLst>
            <a:gd fmla="val 16667" name="adj"/>
          </a:avLst>
        </a:prstGeom>
        <a:gradFill>
          <a:gsLst>
            <a:gs pos="0">
              <a:srgbClr val="2B5A97"/>
            </a:gs>
            <a:gs pos="80000">
              <a:srgbClr val="3C79C3"/>
            </a:gs>
            <a:gs pos="100000">
              <a:srgbClr val="377AC9"/>
            </a:gs>
          </a:gsLst>
          <a:lin ang="16200000" scaled="0"/>
        </a:gradFill>
        <a:ln>
          <a:noFill/>
        </a:ln>
        <a:effectLst>
          <a:outerShdw rotWithShape="0" algn="r" dir="10800000" dist="38100">
            <a:srgbClr val="000000">
              <a:alpha val="38823"/>
            </a:srgbClr>
          </a:outerShdw>
        </a:effectLst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2200">
              <a:solidFill>
                <a:srgbClr val="FF8080"/>
              </a:solidFill>
              <a:latin typeface="Calibri"/>
              <a:ea typeface="Calibri"/>
              <a:cs typeface="Calibri"/>
              <a:sym typeface="Calibri"/>
            </a:rPr>
            <a:t>GA55  PAY BILL ENTRY SHEET</a:t>
          </a:r>
          <a:endParaRPr sz="1400"/>
        </a:p>
      </xdr:txBody>
    </xdr:sp>
    <xdr:clientData fLocksWithSheet="0"/>
  </xdr:oneCellAnchor>
  <xdr:oneCellAnchor>
    <xdr:from>
      <xdr:col>12</xdr:col>
      <xdr:colOff>781050</xdr:colOff>
      <xdr:row>0</xdr:row>
      <xdr:rowOff>57150</xdr:rowOff>
    </xdr:from>
    <xdr:ext cx="1238250" cy="714375"/>
    <xdr:grpSp>
      <xdr:nvGrpSpPr>
        <xdr:cNvPr id="2" name="Shape 2"/>
        <xdr:cNvGrpSpPr/>
      </xdr:nvGrpSpPr>
      <xdr:grpSpPr>
        <a:xfrm>
          <a:off x="4726875" y="3422813"/>
          <a:ext cx="1238250" cy="714375"/>
          <a:chOff x="4726875" y="3422813"/>
          <a:chExt cx="1238250" cy="714375"/>
        </a:xfrm>
      </xdr:grpSpPr>
      <xdr:grpSp>
        <xdr:nvGrpSpPr>
          <xdr:cNvPr id="6" name="Shape 6"/>
          <xdr:cNvGrpSpPr/>
        </xdr:nvGrpSpPr>
        <xdr:grpSpPr>
          <a:xfrm>
            <a:off x="4726875" y="3422813"/>
            <a:ext cx="1238250" cy="714375"/>
            <a:chOff x="4626863" y="3418050"/>
            <a:chExt cx="1438275" cy="723900"/>
          </a:xfrm>
        </xdr:grpSpPr>
        <xdr:sp>
          <xdr:nvSpPr>
            <xdr:cNvPr id="7" name="Shape 7"/>
            <xdr:cNvSpPr/>
          </xdr:nvSpPr>
          <xdr:spPr>
            <a:xfrm>
              <a:off x="4626863" y="3418050"/>
              <a:ext cx="1438275" cy="7239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8" name="Shape 8"/>
            <xdr:cNvGrpSpPr/>
          </xdr:nvGrpSpPr>
          <xdr:grpSpPr>
            <a:xfrm>
              <a:off x="4626863" y="3418050"/>
              <a:ext cx="1438275" cy="723900"/>
              <a:chOff x="4626863" y="3418050"/>
              <a:chExt cx="1438275" cy="723900"/>
            </a:xfrm>
          </xdr:grpSpPr>
          <xdr:sp>
            <xdr:nvSpPr>
              <xdr:cNvPr id="9" name="Shape 9"/>
              <xdr:cNvSpPr/>
            </xdr:nvSpPr>
            <xdr:spPr>
              <a:xfrm>
                <a:off x="4626863" y="3418050"/>
                <a:ext cx="1438275" cy="7239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10" name="Shape 10"/>
              <xdr:cNvGrpSpPr/>
            </xdr:nvGrpSpPr>
            <xdr:grpSpPr>
              <a:xfrm>
                <a:off x="4626863" y="3418050"/>
                <a:ext cx="1438275" cy="723900"/>
                <a:chOff x="4355400" y="3413288"/>
                <a:chExt cx="1981200" cy="733425"/>
              </a:xfrm>
            </xdr:grpSpPr>
            <xdr:sp>
              <xdr:nvSpPr>
                <xdr:cNvPr id="11" name="Shape 11"/>
                <xdr:cNvSpPr/>
              </xdr:nvSpPr>
              <xdr:spPr>
                <a:xfrm>
                  <a:off x="4355400" y="3413288"/>
                  <a:ext cx="1981200" cy="733425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12" name="Shape 12"/>
                <xdr:cNvGrpSpPr/>
              </xdr:nvGrpSpPr>
              <xdr:grpSpPr>
                <a:xfrm>
                  <a:off x="4355400" y="3413288"/>
                  <a:ext cx="1981200" cy="733425"/>
                  <a:chOff x="9172575" y="85725"/>
                  <a:chExt cx="2541646" cy="685799"/>
                </a:xfrm>
              </xdr:grpSpPr>
              <xdr:sp>
                <xdr:nvSpPr>
                  <xdr:cNvPr id="13" name="Shape 13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14" name="Shape 14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15" name="Shape 15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257175</xdr:colOff>
      <xdr:row>0</xdr:row>
      <xdr:rowOff>38100</xdr:rowOff>
    </xdr:from>
    <xdr:ext cx="2581275" cy="485775"/>
    <xdr:sp>
      <xdr:nvSpPr>
        <xdr:cNvPr id="16" name="Shape 16"/>
        <xdr:cNvSpPr/>
      </xdr:nvSpPr>
      <xdr:spPr>
        <a:xfrm>
          <a:off x="4060125" y="3541875"/>
          <a:ext cx="2571750" cy="476250"/>
        </a:xfrm>
        <a:prstGeom prst="roundRect">
          <a:avLst>
            <a:gd fmla="val 16667" name="adj"/>
          </a:avLst>
        </a:prstGeom>
        <a:gradFill>
          <a:gsLst>
            <a:gs pos="0">
              <a:srgbClr val="2B5A97"/>
            </a:gs>
            <a:gs pos="80000">
              <a:srgbClr val="3C79C3"/>
            </a:gs>
            <a:gs pos="100000">
              <a:srgbClr val="377AC9"/>
            </a:gs>
          </a:gsLst>
          <a:lin ang="16200000" scaled="0"/>
        </a:gradFill>
        <a:ln>
          <a:noFill/>
        </a:ln>
        <a:effectLst>
          <a:outerShdw rotWithShape="0" algn="r" dir="10800000" dist="38100">
            <a:srgbClr val="000000">
              <a:alpha val="38823"/>
            </a:srgbClr>
          </a:outerShdw>
        </a:effectLst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2200">
              <a:solidFill>
                <a:srgbClr val="FF8080"/>
              </a:solidFill>
              <a:latin typeface="Calibri"/>
              <a:ea typeface="Calibri"/>
              <a:cs typeface="Calibri"/>
              <a:sym typeface="Calibri"/>
            </a:rPr>
            <a:t>GA55  PAY BILL ENTRY SHEET</a:t>
          </a:r>
          <a:endParaRPr sz="1400"/>
        </a:p>
      </xdr:txBody>
    </xdr:sp>
    <xdr:clientData fLocksWithSheet="0"/>
  </xdr:oneCellAnchor>
  <xdr:oneCellAnchor>
    <xdr:from>
      <xdr:col>12</xdr:col>
      <xdr:colOff>781050</xdr:colOff>
      <xdr:row>0</xdr:row>
      <xdr:rowOff>57150</xdr:rowOff>
    </xdr:from>
    <xdr:ext cx="1238250" cy="714375"/>
    <xdr:grpSp>
      <xdr:nvGrpSpPr>
        <xdr:cNvPr id="2" name="Shape 2"/>
        <xdr:cNvGrpSpPr/>
      </xdr:nvGrpSpPr>
      <xdr:grpSpPr>
        <a:xfrm>
          <a:off x="4726875" y="3422813"/>
          <a:ext cx="1238250" cy="714375"/>
          <a:chOff x="4726875" y="3422813"/>
          <a:chExt cx="1238250" cy="714375"/>
        </a:xfrm>
      </xdr:grpSpPr>
      <xdr:grpSp>
        <xdr:nvGrpSpPr>
          <xdr:cNvPr id="17" name="Shape 17"/>
          <xdr:cNvGrpSpPr/>
        </xdr:nvGrpSpPr>
        <xdr:grpSpPr>
          <a:xfrm>
            <a:off x="4726875" y="3422813"/>
            <a:ext cx="1238250" cy="714375"/>
            <a:chOff x="4626863" y="3418050"/>
            <a:chExt cx="1438275" cy="723900"/>
          </a:xfrm>
        </xdr:grpSpPr>
        <xdr:sp>
          <xdr:nvSpPr>
            <xdr:cNvPr id="7" name="Shape 7"/>
            <xdr:cNvSpPr/>
          </xdr:nvSpPr>
          <xdr:spPr>
            <a:xfrm>
              <a:off x="4626863" y="3418050"/>
              <a:ext cx="1438275" cy="7239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18" name="Shape 18"/>
            <xdr:cNvGrpSpPr/>
          </xdr:nvGrpSpPr>
          <xdr:grpSpPr>
            <a:xfrm>
              <a:off x="4626863" y="3418050"/>
              <a:ext cx="1438275" cy="723900"/>
              <a:chOff x="4626863" y="3418050"/>
              <a:chExt cx="1438275" cy="723900"/>
            </a:xfrm>
          </xdr:grpSpPr>
          <xdr:sp>
            <xdr:nvSpPr>
              <xdr:cNvPr id="19" name="Shape 19"/>
              <xdr:cNvSpPr/>
            </xdr:nvSpPr>
            <xdr:spPr>
              <a:xfrm>
                <a:off x="4626863" y="3418050"/>
                <a:ext cx="1438275" cy="7239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20" name="Shape 20"/>
              <xdr:cNvGrpSpPr/>
            </xdr:nvGrpSpPr>
            <xdr:grpSpPr>
              <a:xfrm>
                <a:off x="4626863" y="3418050"/>
                <a:ext cx="1438275" cy="723900"/>
                <a:chOff x="4355400" y="3413288"/>
                <a:chExt cx="1981200" cy="733425"/>
              </a:xfrm>
            </xdr:grpSpPr>
            <xdr:sp>
              <xdr:nvSpPr>
                <xdr:cNvPr id="21" name="Shape 21"/>
                <xdr:cNvSpPr/>
              </xdr:nvSpPr>
              <xdr:spPr>
                <a:xfrm>
                  <a:off x="4355400" y="3413288"/>
                  <a:ext cx="1981200" cy="733425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22" name="Shape 22"/>
                <xdr:cNvGrpSpPr/>
              </xdr:nvGrpSpPr>
              <xdr:grpSpPr>
                <a:xfrm>
                  <a:off x="4355400" y="3413288"/>
                  <a:ext cx="1981200" cy="733425"/>
                  <a:chOff x="9172575" y="85725"/>
                  <a:chExt cx="2541646" cy="685799"/>
                </a:xfrm>
              </xdr:grpSpPr>
              <xdr:sp>
                <xdr:nvSpPr>
                  <xdr:cNvPr id="23" name="Shape 23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24" name="Shape 24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25" name="Shape 25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457200</xdr:colOff>
      <xdr:row>50</xdr:row>
      <xdr:rowOff>190500</xdr:rowOff>
    </xdr:from>
    <xdr:ext cx="1857375" cy="1762125"/>
    <xdr:sp>
      <xdr:nvSpPr>
        <xdr:cNvPr id="26" name="Shape 26">
          <a:hlinkClick r:id="rId1"/>
        </xdr:cNvPr>
        <xdr:cNvSpPr/>
      </xdr:nvSpPr>
      <xdr:spPr>
        <a:xfrm>
          <a:off x="4422075" y="2903700"/>
          <a:ext cx="1847850" cy="1752600"/>
        </a:xfrm>
        <a:prstGeom prst="roundRect">
          <a:avLst>
            <a:gd fmla="val 16667" name="adj"/>
          </a:avLst>
        </a:prstGeom>
        <a:gradFill>
          <a:gsLst>
            <a:gs pos="0">
              <a:srgbClr val="7B7B7B"/>
            </a:gs>
            <a:gs pos="100000">
              <a:srgbClr val="000000"/>
            </a:gs>
          </a:gsLst>
          <a:path path="circle">
            <a:fillToRect b="100%" l="0%" r="100%" t="0%"/>
          </a:path>
          <a:tileRect b="0%" l="-100%" r="0%" t="-100%"/>
        </a:gradFill>
        <a:ln>
          <a:noFill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i="1" lang="en-US" sz="20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Extra Ded. Sheet</a:t>
          </a:r>
          <a:endParaRPr sz="1400"/>
        </a:p>
      </xdr:txBody>
    </xdr:sp>
    <xdr:clientData fLocksWithSheet="0"/>
  </xdr:oneCellAnchor>
  <xdr:oneCellAnchor>
    <xdr:from>
      <xdr:col>9</xdr:col>
      <xdr:colOff>790575</xdr:colOff>
      <xdr:row>1</xdr:row>
      <xdr:rowOff>0</xdr:rowOff>
    </xdr:from>
    <xdr:ext cx="2457450" cy="2933700"/>
    <xdr:grpSp>
      <xdr:nvGrpSpPr>
        <xdr:cNvPr id="2" name="Shape 2"/>
        <xdr:cNvGrpSpPr/>
      </xdr:nvGrpSpPr>
      <xdr:grpSpPr>
        <a:xfrm>
          <a:off x="4117275" y="2313150"/>
          <a:ext cx="2457450" cy="2933700"/>
          <a:chOff x="4117275" y="2313150"/>
          <a:chExt cx="2457450" cy="2933700"/>
        </a:xfrm>
      </xdr:grpSpPr>
      <xdr:grpSp>
        <xdr:nvGrpSpPr>
          <xdr:cNvPr id="27" name="Shape 27"/>
          <xdr:cNvGrpSpPr/>
        </xdr:nvGrpSpPr>
        <xdr:grpSpPr>
          <a:xfrm>
            <a:off x="4117275" y="2313150"/>
            <a:ext cx="2457450" cy="2933700"/>
            <a:chOff x="3902963" y="2346488"/>
            <a:chExt cx="2886075" cy="2867025"/>
          </a:xfrm>
        </xdr:grpSpPr>
        <xdr:sp>
          <xdr:nvSpPr>
            <xdr:cNvPr id="7" name="Shape 7"/>
            <xdr:cNvSpPr/>
          </xdr:nvSpPr>
          <xdr:spPr>
            <a:xfrm>
              <a:off x="3902963" y="2346488"/>
              <a:ext cx="2886075" cy="28670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28" name="Shape 28"/>
            <xdr:cNvGrpSpPr/>
          </xdr:nvGrpSpPr>
          <xdr:grpSpPr>
            <a:xfrm>
              <a:off x="3902963" y="2346488"/>
              <a:ext cx="2886075" cy="2867025"/>
              <a:chOff x="3902963" y="2346488"/>
              <a:chExt cx="2886075" cy="2867025"/>
            </a:xfrm>
          </xdr:grpSpPr>
          <xdr:sp>
            <xdr:nvSpPr>
              <xdr:cNvPr id="29" name="Shape 29"/>
              <xdr:cNvSpPr/>
            </xdr:nvSpPr>
            <xdr:spPr>
              <a:xfrm>
                <a:off x="3902963" y="2346488"/>
                <a:ext cx="2886075" cy="286702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30" name="Shape 30"/>
              <xdr:cNvGrpSpPr/>
            </xdr:nvGrpSpPr>
            <xdr:grpSpPr>
              <a:xfrm>
                <a:off x="3902963" y="2346488"/>
                <a:ext cx="2886075" cy="2867025"/>
                <a:chOff x="3340988" y="2379825"/>
                <a:chExt cx="4010025" cy="2800350"/>
              </a:xfrm>
            </xdr:grpSpPr>
            <xdr:sp>
              <xdr:nvSpPr>
                <xdr:cNvPr id="31" name="Shape 31"/>
                <xdr:cNvSpPr/>
              </xdr:nvSpPr>
              <xdr:spPr>
                <a:xfrm>
                  <a:off x="3340988" y="2379825"/>
                  <a:ext cx="4010025" cy="2800350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32" name="Shape 32"/>
                <xdr:cNvGrpSpPr/>
              </xdr:nvGrpSpPr>
              <xdr:grpSpPr>
                <a:xfrm>
                  <a:off x="3340988" y="2379825"/>
                  <a:ext cx="4010025" cy="2800350"/>
                  <a:chOff x="10846800" y="180975"/>
                  <a:chExt cx="4688475" cy="3476625"/>
                </a:xfrm>
              </xdr:grpSpPr>
              <xdr:sp>
                <xdr:nvSpPr>
                  <xdr:cNvPr id="33" name="Shape 33"/>
                  <xdr:cNvSpPr/>
                </xdr:nvSpPr>
                <xdr:spPr>
                  <a:xfrm>
                    <a:off x="10846800" y="180975"/>
                    <a:ext cx="4688475" cy="347662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34" name="Shape 34"/>
                  <xdr:cNvSpPr/>
                </xdr:nvSpPr>
                <xdr:spPr>
                  <a:xfrm>
                    <a:off x="10846800" y="3209925"/>
                    <a:ext cx="4688475" cy="447675"/>
                  </a:xfrm>
                  <a:prstGeom prst="frame">
                    <a:avLst>
                      <a:gd fmla="val 12500" name="adj1"/>
                    </a:avLst>
                  </a:prstGeom>
                  <a:solidFill>
                    <a:srgbClr val="4F81BD"/>
                  </a:solidFill>
                  <a:ln cap="flat" cmpd="sng" w="25400">
                    <a:solidFill>
                      <a:srgbClr val="375D89"/>
                    </a:solidFill>
                    <a:prstDash val="solid"/>
                    <a:round/>
                    <a:headEnd len="sm" w="sm" type="none"/>
                    <a:tailEnd len="sm" w="sm" type="none"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pic>
                <xdr:nvPicPr>
                  <xdr:cNvPr descr=" " id="35" name="Shape 35"/>
                  <xdr:cNvPicPr preferRelativeResize="0"/>
                </xdr:nvPicPr>
                <xdr:blipFill rotWithShape="1">
                  <a:blip r:embed="rId2">
                    <a:alphaModFix/>
                  </a:blip>
                  <a:srcRect b="0" l="0" r="0" t="0"/>
                  <a:stretch/>
                </xdr:blipFill>
                <xdr:spPr>
                  <a:xfrm>
                    <a:off x="11981687" y="180975"/>
                    <a:ext cx="2370284" cy="2967252"/>
                  </a:xfrm>
                  <a:prstGeom prst="rect">
                    <a:avLst/>
                  </a:prstGeom>
                  <a:noFill/>
                  <a:ln cap="sq" cmpd="sng" w="38100">
                    <a:solidFill>
                      <a:srgbClr val="FFC000"/>
                    </a:solidFill>
                    <a:prstDash val="solid"/>
                    <a:miter lim="8000"/>
                    <a:headEnd len="sm" w="sm" type="none"/>
                    <a:tailEnd len="sm" w="sm" type="none"/>
                  </a:ln>
                  <a:effectLst>
                    <a:outerShdw rotWithShape="0" algn="tl" dir="2640000" dist="38100">
                      <a:srgbClr val="000000">
                        <a:alpha val="41568"/>
                      </a:srgbClr>
                    </a:outerShdw>
                  </a:effectLst>
                </xdr:spPr>
              </xdr:pic>
            </xdr:grpSp>
          </xdr:grpSp>
        </xdr:grpSp>
      </xdr:grpSp>
    </xdr:grpSp>
    <xdr:clientData fLocksWithSheet="0"/>
  </xdr:oneCellAnchor>
  <xdr:oneCellAnchor>
    <xdr:from>
      <xdr:col>7</xdr:col>
      <xdr:colOff>723900</xdr:colOff>
      <xdr:row>47</xdr:row>
      <xdr:rowOff>266700</xdr:rowOff>
    </xdr:from>
    <xdr:ext cx="1581150" cy="1657350"/>
    <xdr:sp>
      <xdr:nvSpPr>
        <xdr:cNvPr id="36" name="Shape 36">
          <a:hlinkClick r:id="rId3"/>
        </xdr:cNvPr>
        <xdr:cNvSpPr/>
      </xdr:nvSpPr>
      <xdr:spPr>
        <a:xfrm>
          <a:off x="4560188" y="2956088"/>
          <a:ext cx="1571625" cy="1647825"/>
        </a:xfrm>
        <a:prstGeom prst="roundRect">
          <a:avLst>
            <a:gd fmla="val 16667" name="adj"/>
          </a:avLst>
        </a:prstGeom>
        <a:gradFill>
          <a:gsLst>
            <a:gs pos="0">
              <a:srgbClr val="7B7B7B"/>
            </a:gs>
            <a:gs pos="100000">
              <a:srgbClr val="000000"/>
            </a:gs>
          </a:gsLst>
          <a:path path="circle">
            <a:fillToRect b="100%" l="0%" r="100%" t="0%"/>
          </a:path>
          <a:tileRect b="0%" l="-100%" r="0%" t="-100%"/>
        </a:gradFill>
        <a:ln>
          <a:noFill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i="1" lang="en-US" sz="2000">
              <a:solidFill>
                <a:srgbClr val="0000FF"/>
              </a:solidFill>
              <a:latin typeface="Calibri"/>
              <a:ea typeface="Calibri"/>
              <a:cs typeface="Calibri"/>
              <a:sym typeface="Calibri"/>
            </a:rPr>
            <a:t>Tax Computetion Sheet</a:t>
          </a:r>
          <a:endParaRPr sz="1400"/>
        </a:p>
      </xdr:txBody>
    </xdr:sp>
    <xdr:clientData fLocksWithSheet="0"/>
  </xdr:oneCellAnchor>
  <xdr:oneCellAnchor>
    <xdr:from>
      <xdr:col>2</xdr:col>
      <xdr:colOff>781050</xdr:colOff>
      <xdr:row>51</xdr:row>
      <xdr:rowOff>57150</xdr:rowOff>
    </xdr:from>
    <xdr:ext cx="1285875" cy="552450"/>
    <xdr:sp>
      <xdr:nvSpPr>
        <xdr:cNvPr id="37" name="Shape 37">
          <a:hlinkClick r:id="rId4"/>
        </xdr:cNvPr>
        <xdr:cNvSpPr/>
      </xdr:nvSpPr>
      <xdr:spPr>
        <a:xfrm>
          <a:off x="4707825" y="3508538"/>
          <a:ext cx="1276350" cy="542925"/>
        </a:xfrm>
        <a:prstGeom prst="roundRect">
          <a:avLst>
            <a:gd fmla="val 16667" name="adj"/>
          </a:avLst>
        </a:prstGeom>
        <a:gradFill>
          <a:gsLst>
            <a:gs pos="0">
              <a:srgbClr val="7B7B7B"/>
            </a:gs>
            <a:gs pos="100000">
              <a:srgbClr val="000000"/>
            </a:gs>
          </a:gsLst>
          <a:path path="circle">
            <a:fillToRect b="100%" l="0%" r="100%" t="0%"/>
          </a:path>
          <a:tileRect b="0%" l="-100%" r="0%" t="-100%"/>
        </a:gradFill>
        <a:ln>
          <a:noFill/>
        </a:ln>
        <a:effectLst>
          <a:outerShdw rotWithShape="0" dir="5400000" dist="23000">
            <a:srgbClr val="000000">
              <a:alpha val="33725"/>
            </a:srgbClr>
          </a:outerShdw>
        </a:effectLst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i="1" lang="en-US" sz="2000">
              <a:solidFill>
                <a:srgbClr val="003366"/>
              </a:solidFill>
              <a:latin typeface="Calibri"/>
              <a:ea typeface="Calibri"/>
              <a:cs typeface="Calibri"/>
              <a:sym typeface="Calibri"/>
            </a:rPr>
            <a:t>Go to GA55 Sheet</a:t>
          </a:r>
          <a:endParaRPr sz="1400"/>
        </a:p>
      </xdr:txBody>
    </xdr:sp>
    <xdr:clientData fLocksWithSheet="0"/>
  </xdr:oneCellAnchor>
  <xdr:oneCellAnchor>
    <xdr:from>
      <xdr:col>11</xdr:col>
      <xdr:colOff>0</xdr:colOff>
      <xdr:row>51</xdr:row>
      <xdr:rowOff>0</xdr:rowOff>
    </xdr:from>
    <xdr:ext cx="1733550" cy="714375"/>
    <xdr:grpSp>
      <xdr:nvGrpSpPr>
        <xdr:cNvPr id="2" name="Shape 2"/>
        <xdr:cNvGrpSpPr/>
      </xdr:nvGrpSpPr>
      <xdr:grpSpPr>
        <a:xfrm>
          <a:off x="4479225" y="3422813"/>
          <a:ext cx="1733550" cy="714375"/>
          <a:chOff x="4479225" y="3422813"/>
          <a:chExt cx="1733550" cy="714375"/>
        </a:xfrm>
      </xdr:grpSpPr>
      <xdr:grpSp>
        <xdr:nvGrpSpPr>
          <xdr:cNvPr id="38" name="Shape 38"/>
          <xdr:cNvGrpSpPr/>
        </xdr:nvGrpSpPr>
        <xdr:grpSpPr>
          <a:xfrm>
            <a:off x="4479225" y="3422813"/>
            <a:ext cx="1733550" cy="714375"/>
            <a:chOff x="4398263" y="3418050"/>
            <a:chExt cx="1895475" cy="723900"/>
          </a:xfrm>
        </xdr:grpSpPr>
        <xdr:sp>
          <xdr:nvSpPr>
            <xdr:cNvPr id="7" name="Shape 7"/>
            <xdr:cNvSpPr/>
          </xdr:nvSpPr>
          <xdr:spPr>
            <a:xfrm>
              <a:off x="4398263" y="3418050"/>
              <a:ext cx="1895475" cy="7239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39" name="Shape 39"/>
            <xdr:cNvGrpSpPr/>
          </xdr:nvGrpSpPr>
          <xdr:grpSpPr>
            <a:xfrm>
              <a:off x="4398263" y="3418050"/>
              <a:ext cx="1895475" cy="723900"/>
              <a:chOff x="4398263" y="3418050"/>
              <a:chExt cx="1895475" cy="723900"/>
            </a:xfrm>
          </xdr:grpSpPr>
          <xdr:sp>
            <xdr:nvSpPr>
              <xdr:cNvPr id="40" name="Shape 40"/>
              <xdr:cNvSpPr/>
            </xdr:nvSpPr>
            <xdr:spPr>
              <a:xfrm>
                <a:off x="4398263" y="3418050"/>
                <a:ext cx="1895475" cy="7239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41" name="Shape 41"/>
              <xdr:cNvGrpSpPr/>
            </xdr:nvGrpSpPr>
            <xdr:grpSpPr>
              <a:xfrm>
                <a:off x="4398263" y="3418050"/>
                <a:ext cx="1895475" cy="723900"/>
                <a:chOff x="4188713" y="3413288"/>
                <a:chExt cx="2314575" cy="733425"/>
              </a:xfrm>
            </xdr:grpSpPr>
            <xdr:sp>
              <xdr:nvSpPr>
                <xdr:cNvPr id="42" name="Shape 42"/>
                <xdr:cNvSpPr/>
              </xdr:nvSpPr>
              <xdr:spPr>
                <a:xfrm>
                  <a:off x="4188713" y="3413288"/>
                  <a:ext cx="2314575" cy="733425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43" name="Shape 43"/>
                <xdr:cNvGrpSpPr/>
              </xdr:nvGrpSpPr>
              <xdr:grpSpPr>
                <a:xfrm>
                  <a:off x="4188713" y="3413288"/>
                  <a:ext cx="2314575" cy="733425"/>
                  <a:chOff x="9172575" y="85725"/>
                  <a:chExt cx="2541646" cy="685799"/>
                </a:xfrm>
              </xdr:grpSpPr>
              <xdr:sp>
                <xdr:nvSpPr>
                  <xdr:cNvPr id="44" name="Shape 44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45" name="Shape 45">
                    <a:hlinkClick r:id="rId5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46" name="Shape 46">
                    <a:hlinkClick r:id="rId6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  <xdr:oneCellAnchor>
    <xdr:from>
      <xdr:col>11</xdr:col>
      <xdr:colOff>419100</xdr:colOff>
      <xdr:row>38</xdr:row>
      <xdr:rowOff>-9525</xdr:rowOff>
    </xdr:from>
    <xdr:ext cx="219075" cy="342900"/>
    <xdr:sp>
      <xdr:nvSpPr>
        <xdr:cNvPr id="47" name="Shape 47"/>
        <xdr:cNvSpPr/>
      </xdr:nvSpPr>
      <xdr:spPr>
        <a:xfrm>
          <a:off x="5245988" y="3622838"/>
          <a:ext cx="200025" cy="314325"/>
        </a:xfrm>
        <a:prstGeom prst="downArrow">
          <a:avLst>
            <a:gd fmla="val 50000" name="adj1"/>
            <a:gd fmla="val 50000" name="adj2"/>
          </a:avLst>
        </a:prstGeom>
        <a:solidFill>
          <a:srgbClr val="BF4F4D"/>
        </a:solidFill>
        <a:ln cap="flat" cmpd="sng" w="25400">
          <a:solidFill>
            <a:srgbClr val="8C3836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5</xdr:col>
      <xdr:colOff>-19050</xdr:colOff>
      <xdr:row>42</xdr:row>
      <xdr:rowOff>95250</xdr:rowOff>
    </xdr:from>
    <xdr:ext cx="323850" cy="247650"/>
    <xdr:sp>
      <xdr:nvSpPr>
        <xdr:cNvPr id="48" name="Shape 48"/>
        <xdr:cNvSpPr/>
      </xdr:nvSpPr>
      <xdr:spPr>
        <a:xfrm>
          <a:off x="5193600" y="3670463"/>
          <a:ext cx="304800" cy="219075"/>
        </a:xfrm>
        <a:prstGeom prst="leftArrow">
          <a:avLst>
            <a:gd fmla="val 50000" name="adj1"/>
            <a:gd fmla="val 50000" name="adj2"/>
          </a:avLst>
        </a:prstGeom>
        <a:solidFill>
          <a:srgbClr val="F79544"/>
        </a:solidFill>
        <a:ln cap="flat" cmpd="sng" w="25400">
          <a:solidFill>
            <a:srgbClr val="B46B3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5</xdr:col>
      <xdr:colOff>1095375</xdr:colOff>
      <xdr:row>43</xdr:row>
      <xdr:rowOff>0</xdr:rowOff>
    </xdr:from>
    <xdr:ext cx="314325" cy="200025"/>
    <xdr:sp>
      <xdr:nvSpPr>
        <xdr:cNvPr id="49" name="Shape 49"/>
        <xdr:cNvSpPr/>
      </xdr:nvSpPr>
      <xdr:spPr>
        <a:xfrm>
          <a:off x="5193600" y="3684750"/>
          <a:ext cx="304800" cy="190500"/>
        </a:xfrm>
        <a:prstGeom prst="rightArrow">
          <a:avLst>
            <a:gd fmla="val 50000" name="adj1"/>
            <a:gd fmla="val 50000" name="adj2"/>
          </a:avLst>
        </a:prstGeom>
        <a:gradFill>
          <a:gsLst>
            <a:gs pos="0">
              <a:srgbClr val="992B29"/>
            </a:gs>
            <a:gs pos="80000">
              <a:srgbClr val="C93B37"/>
            </a:gs>
            <a:gs pos="100000">
              <a:srgbClr val="CC3936"/>
            </a:gs>
          </a:gsLst>
          <a:lin ang="162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11</xdr:col>
      <xdr:colOff>419100</xdr:colOff>
      <xdr:row>20</xdr:row>
      <xdr:rowOff>76200</xdr:rowOff>
    </xdr:from>
    <xdr:ext cx="885825" cy="438150"/>
    <xdr:sp>
      <xdr:nvSpPr>
        <xdr:cNvPr id="50" name="Shape 50"/>
        <xdr:cNvSpPr/>
      </xdr:nvSpPr>
      <xdr:spPr>
        <a:xfrm>
          <a:off x="4907850" y="3560925"/>
          <a:ext cx="876300" cy="438150"/>
        </a:xfrm>
        <a:prstGeom prst="roundRect">
          <a:avLst>
            <a:gd fmla="val 16667" name="adj"/>
          </a:avLst>
        </a:prstGeom>
        <a:gradFill>
          <a:gsLst>
            <a:gs pos="0">
              <a:srgbClr val="5D427D"/>
            </a:gs>
            <a:gs pos="80000">
              <a:srgbClr val="7A57A5"/>
            </a:gs>
            <a:gs pos="100000">
              <a:srgbClr val="7855A7"/>
            </a:gs>
          </a:gsLst>
          <a:lin ang="16200000" scaled="0"/>
        </a:gradFill>
        <a:ln cap="flat" cmpd="sng" w="9525">
          <a:solidFill>
            <a:srgbClr val="990031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20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BASIC   PAY </a:t>
          </a:r>
          <a:endParaRPr sz="1400"/>
        </a:p>
      </xdr:txBody>
    </xdr:sp>
    <xdr:clientData fLocksWithSheet="0"/>
  </xdr:oneCellAnchor>
  <xdr:oneCellAnchor>
    <xdr:from>
      <xdr:col>10</xdr:col>
      <xdr:colOff>847725</xdr:colOff>
      <xdr:row>1</xdr:row>
      <xdr:rowOff>0</xdr:rowOff>
    </xdr:from>
    <xdr:ext cx="0" cy="1704975"/>
    <xdr:pic>
      <xdr:nvPicPr>
        <xdr:cNvPr descr=" " id="0" name="image3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847725</xdr:colOff>
      <xdr:row>18</xdr:row>
      <xdr:rowOff>0</xdr:rowOff>
    </xdr:from>
    <xdr:ext cx="0" cy="1590675"/>
    <xdr:pic>
      <xdr:nvPicPr>
        <xdr:cNvPr descr=" " id="0" name="image3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123825</xdr:colOff>
      <xdr:row>0</xdr:row>
      <xdr:rowOff>114300</xdr:rowOff>
    </xdr:from>
    <xdr:ext cx="1438275" cy="381000"/>
    <xdr:sp>
      <xdr:nvSpPr>
        <xdr:cNvPr id="51" name="Shape 51"/>
        <xdr:cNvSpPr txBox="1"/>
      </xdr:nvSpPr>
      <xdr:spPr>
        <a:xfrm>
          <a:off x="4631625" y="3594263"/>
          <a:ext cx="1428750" cy="371475"/>
        </a:xfrm>
        <a:prstGeom prst="rect">
          <a:avLst/>
        </a:prstGeom>
        <a:gradFill>
          <a:gsLst>
            <a:gs pos="0">
              <a:srgbClr val="C8B0E9"/>
            </a:gs>
            <a:gs pos="35000">
              <a:srgbClr val="D6CAEB"/>
            </a:gs>
            <a:gs pos="100000">
              <a:srgbClr val="EFE8F9"/>
            </a:gs>
          </a:gsLst>
          <a:lin ang="16200000" scaled="0"/>
        </a:gradFill>
        <a:ln cap="flat" cmpd="sng" w="9525">
          <a:solidFill>
            <a:srgbClr val="7A5F9F"/>
          </a:solidFill>
          <a:prstDash val="solid"/>
          <a:round/>
          <a:headEnd len="sm" w="sm" type="none"/>
          <a:tailEnd len="sm" w="sm" type="none"/>
        </a:ln>
        <a:effectLst>
          <a:outerShdw rotWithShape="0" dir="5400000" dist="20000">
            <a:srgbClr val="000000">
              <a:alpha val="36470"/>
            </a:srgbClr>
          </a:outerShdw>
        </a:effectLst>
      </xdr:spPr>
      <xdr:txBody>
        <a:bodyPr anchorCtr="0" anchor="ctr" bIns="0" lIns="27425" spcFirstLastPara="1" rIns="0" wrap="square" tIns="27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8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Deduction Detail</a:t>
          </a:r>
          <a:endParaRPr sz="1400"/>
        </a:p>
      </xdr:txBody>
    </xdr:sp>
    <xdr:clientData fLocksWithSheet="0"/>
  </xdr:oneCellAnchor>
  <xdr:oneCellAnchor>
    <xdr:from>
      <xdr:col>6</xdr:col>
      <xdr:colOff>1981200</xdr:colOff>
      <xdr:row>0</xdr:row>
      <xdr:rowOff>0</xdr:rowOff>
    </xdr:from>
    <xdr:ext cx="371475" cy="552450"/>
    <xdr:grpSp>
      <xdr:nvGrpSpPr>
        <xdr:cNvPr id="2" name="Shape 2"/>
        <xdr:cNvGrpSpPr/>
      </xdr:nvGrpSpPr>
      <xdr:grpSpPr>
        <a:xfrm>
          <a:off x="5160263" y="3503775"/>
          <a:ext cx="371475" cy="552450"/>
          <a:chOff x="5160263" y="3503775"/>
          <a:chExt cx="371475" cy="552450"/>
        </a:xfrm>
      </xdr:grpSpPr>
      <xdr:grpSp>
        <xdr:nvGrpSpPr>
          <xdr:cNvPr id="52" name="Shape 52"/>
          <xdr:cNvGrpSpPr/>
        </xdr:nvGrpSpPr>
        <xdr:grpSpPr>
          <a:xfrm>
            <a:off x="5160263" y="3503775"/>
            <a:ext cx="371475" cy="552450"/>
            <a:chOff x="5017388" y="3499013"/>
            <a:chExt cx="657225" cy="561975"/>
          </a:xfrm>
        </xdr:grpSpPr>
        <xdr:sp>
          <xdr:nvSpPr>
            <xdr:cNvPr id="7" name="Shape 7"/>
            <xdr:cNvSpPr/>
          </xdr:nvSpPr>
          <xdr:spPr>
            <a:xfrm>
              <a:off x="5017388" y="3499013"/>
              <a:ext cx="657225" cy="5619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53" name="Shape 53"/>
            <xdr:cNvGrpSpPr/>
          </xdr:nvGrpSpPr>
          <xdr:grpSpPr>
            <a:xfrm>
              <a:off x="5017388" y="3499013"/>
              <a:ext cx="657225" cy="561975"/>
              <a:chOff x="5017388" y="3499013"/>
              <a:chExt cx="657225" cy="561975"/>
            </a:xfrm>
          </xdr:grpSpPr>
          <xdr:sp>
            <xdr:nvSpPr>
              <xdr:cNvPr id="54" name="Shape 54"/>
              <xdr:cNvSpPr/>
            </xdr:nvSpPr>
            <xdr:spPr>
              <a:xfrm>
                <a:off x="5017388" y="3499013"/>
                <a:ext cx="657225" cy="5619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55" name="Shape 55"/>
              <xdr:cNvGrpSpPr/>
            </xdr:nvGrpSpPr>
            <xdr:grpSpPr>
              <a:xfrm>
                <a:off x="5017388" y="3499013"/>
                <a:ext cx="657225" cy="561975"/>
                <a:chOff x="4674488" y="3494250"/>
                <a:chExt cx="1343025" cy="571500"/>
              </a:xfrm>
            </xdr:grpSpPr>
            <xdr:sp>
              <xdr:nvSpPr>
                <xdr:cNvPr id="56" name="Shape 56"/>
                <xdr:cNvSpPr/>
              </xdr:nvSpPr>
              <xdr:spPr>
                <a:xfrm>
                  <a:off x="4674488" y="3494250"/>
                  <a:ext cx="1343025" cy="571500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57" name="Shape 57"/>
                <xdr:cNvGrpSpPr/>
              </xdr:nvGrpSpPr>
              <xdr:grpSpPr>
                <a:xfrm>
                  <a:off x="4674488" y="3494250"/>
                  <a:ext cx="1343025" cy="571500"/>
                  <a:chOff x="9172575" y="85725"/>
                  <a:chExt cx="2541646" cy="685799"/>
                </a:xfrm>
              </xdr:grpSpPr>
              <xdr:sp>
                <xdr:nvSpPr>
                  <xdr:cNvPr id="58" name="Shape 58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59" name="Shape 59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60" name="Shape 60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1466850</xdr:colOff>
      <xdr:row>0</xdr:row>
      <xdr:rowOff>0</xdr:rowOff>
    </xdr:from>
    <xdr:ext cx="1876425" cy="609600"/>
    <xdr:grpSp>
      <xdr:nvGrpSpPr>
        <xdr:cNvPr id="2" name="Shape 2"/>
        <xdr:cNvGrpSpPr/>
      </xdr:nvGrpSpPr>
      <xdr:grpSpPr>
        <a:xfrm>
          <a:off x="4407788" y="3475200"/>
          <a:ext cx="1876425" cy="609600"/>
          <a:chOff x="4407788" y="3475200"/>
          <a:chExt cx="1876425" cy="609600"/>
        </a:xfrm>
      </xdr:grpSpPr>
      <xdr:grpSp>
        <xdr:nvGrpSpPr>
          <xdr:cNvPr id="61" name="Shape 61"/>
          <xdr:cNvGrpSpPr/>
        </xdr:nvGrpSpPr>
        <xdr:grpSpPr>
          <a:xfrm>
            <a:off x="4407788" y="3475200"/>
            <a:ext cx="1876425" cy="609600"/>
            <a:chOff x="4412550" y="3470438"/>
            <a:chExt cx="1866900" cy="619125"/>
          </a:xfrm>
        </xdr:grpSpPr>
        <xdr:sp>
          <xdr:nvSpPr>
            <xdr:cNvPr id="7" name="Shape 7"/>
            <xdr:cNvSpPr/>
          </xdr:nvSpPr>
          <xdr:spPr>
            <a:xfrm>
              <a:off x="4412550" y="3470438"/>
              <a:ext cx="186690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62" name="Shape 62"/>
            <xdr:cNvGrpSpPr/>
          </xdr:nvGrpSpPr>
          <xdr:grpSpPr>
            <a:xfrm>
              <a:off x="4412550" y="3470438"/>
              <a:ext cx="1866900" cy="619125"/>
              <a:chOff x="4412550" y="3470438"/>
              <a:chExt cx="1866900" cy="619125"/>
            </a:xfrm>
          </xdr:grpSpPr>
          <xdr:sp>
            <xdr:nvSpPr>
              <xdr:cNvPr id="63" name="Shape 63"/>
              <xdr:cNvSpPr/>
            </xdr:nvSpPr>
            <xdr:spPr>
              <a:xfrm>
                <a:off x="4412550" y="3470438"/>
                <a:ext cx="1866900" cy="61912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64" name="Shape 64"/>
              <xdr:cNvGrpSpPr/>
            </xdr:nvGrpSpPr>
            <xdr:grpSpPr>
              <a:xfrm>
                <a:off x="4412550" y="3470438"/>
                <a:ext cx="1866900" cy="619125"/>
                <a:chOff x="4417313" y="3465675"/>
                <a:chExt cx="1857375" cy="628650"/>
              </a:xfrm>
            </xdr:grpSpPr>
            <xdr:sp>
              <xdr:nvSpPr>
                <xdr:cNvPr id="65" name="Shape 65"/>
                <xdr:cNvSpPr/>
              </xdr:nvSpPr>
              <xdr:spPr>
                <a:xfrm>
                  <a:off x="4417313" y="3465675"/>
                  <a:ext cx="1857375" cy="628650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66" name="Shape 66"/>
                <xdr:cNvGrpSpPr/>
              </xdr:nvGrpSpPr>
              <xdr:grpSpPr>
                <a:xfrm>
                  <a:off x="4417313" y="3465675"/>
                  <a:ext cx="1857375" cy="628650"/>
                  <a:chOff x="9172575" y="85725"/>
                  <a:chExt cx="2541646" cy="685799"/>
                </a:xfrm>
              </xdr:grpSpPr>
              <xdr:sp>
                <xdr:nvSpPr>
                  <xdr:cNvPr id="67" name="Shape 67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68" name="Shape 68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69" name="Shape 69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31</xdr:col>
      <xdr:colOff>0</xdr:colOff>
      <xdr:row>1</xdr:row>
      <xdr:rowOff>0</xdr:rowOff>
    </xdr:from>
    <xdr:ext cx="1971675" cy="619125"/>
    <xdr:grpSp>
      <xdr:nvGrpSpPr>
        <xdr:cNvPr id="2" name="Shape 2"/>
        <xdr:cNvGrpSpPr/>
      </xdr:nvGrpSpPr>
      <xdr:grpSpPr>
        <a:xfrm>
          <a:off x="4360163" y="3470438"/>
          <a:ext cx="1971675" cy="619125"/>
          <a:chOff x="4360163" y="3470438"/>
          <a:chExt cx="1971675" cy="619125"/>
        </a:xfrm>
      </xdr:grpSpPr>
      <xdr:grpSp>
        <xdr:nvGrpSpPr>
          <xdr:cNvPr id="70" name="Shape 70"/>
          <xdr:cNvGrpSpPr/>
        </xdr:nvGrpSpPr>
        <xdr:grpSpPr>
          <a:xfrm>
            <a:off x="4360163" y="3470438"/>
            <a:ext cx="1971675" cy="619125"/>
            <a:chOff x="4331588" y="3470438"/>
            <a:chExt cx="2028825" cy="619125"/>
          </a:xfrm>
        </xdr:grpSpPr>
        <xdr:sp>
          <xdr:nvSpPr>
            <xdr:cNvPr id="7" name="Shape 7"/>
            <xdr:cNvSpPr/>
          </xdr:nvSpPr>
          <xdr:spPr>
            <a:xfrm>
              <a:off x="4331588" y="3470438"/>
              <a:ext cx="2028825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71" name="Shape 71"/>
            <xdr:cNvGrpSpPr/>
          </xdr:nvGrpSpPr>
          <xdr:grpSpPr>
            <a:xfrm>
              <a:off x="4331588" y="3470438"/>
              <a:ext cx="2028825" cy="619125"/>
              <a:chOff x="4331588" y="3470438"/>
              <a:chExt cx="2028825" cy="619125"/>
            </a:xfrm>
          </xdr:grpSpPr>
          <xdr:sp>
            <xdr:nvSpPr>
              <xdr:cNvPr id="72" name="Shape 72"/>
              <xdr:cNvSpPr/>
            </xdr:nvSpPr>
            <xdr:spPr>
              <a:xfrm>
                <a:off x="4331588" y="3470438"/>
                <a:ext cx="2028825" cy="61912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73" name="Shape 73"/>
              <xdr:cNvGrpSpPr/>
            </xdr:nvGrpSpPr>
            <xdr:grpSpPr>
              <a:xfrm>
                <a:off x="4331588" y="3470438"/>
                <a:ext cx="2028825" cy="619125"/>
                <a:chOff x="4231575" y="3465675"/>
                <a:chExt cx="2228850" cy="628650"/>
              </a:xfrm>
            </xdr:grpSpPr>
            <xdr:sp>
              <xdr:nvSpPr>
                <xdr:cNvPr id="74" name="Shape 74"/>
                <xdr:cNvSpPr/>
              </xdr:nvSpPr>
              <xdr:spPr>
                <a:xfrm>
                  <a:off x="4231575" y="3465675"/>
                  <a:ext cx="2228850" cy="628650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75" name="Shape 75"/>
                <xdr:cNvGrpSpPr/>
              </xdr:nvGrpSpPr>
              <xdr:grpSpPr>
                <a:xfrm>
                  <a:off x="4231575" y="3465675"/>
                  <a:ext cx="2228850" cy="628650"/>
                  <a:chOff x="9172575" y="85725"/>
                  <a:chExt cx="2541646" cy="685799"/>
                </a:xfrm>
              </xdr:grpSpPr>
              <xdr:sp>
                <xdr:nvSpPr>
                  <xdr:cNvPr id="76" name="Shape 76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77" name="Shape 77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78" name="Shape 78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21</xdr:col>
      <xdr:colOff>-1038225</xdr:colOff>
      <xdr:row>5</xdr:row>
      <xdr:rowOff>-723900</xdr:rowOff>
    </xdr:from>
    <xdr:ext cx="3009900" cy="3095625"/>
    <xdr:sp>
      <xdr:nvSpPr>
        <xdr:cNvPr id="79" name="Shape 79"/>
        <xdr:cNvSpPr/>
      </xdr:nvSpPr>
      <xdr:spPr>
        <a:xfrm rot="1798694">
          <a:off x="4274438" y="2613188"/>
          <a:ext cx="2143125" cy="2333625"/>
        </a:xfrm>
        <a:prstGeom prst="curvedLeftArrow">
          <a:avLst>
            <a:gd fmla="val 25000" name="adj1"/>
            <a:gd fmla="val 50000" name="adj2"/>
            <a:gd fmla="val 25000" name="adj3"/>
          </a:avLst>
        </a:prstGeom>
        <a:gradFill>
          <a:gsLst>
            <a:gs pos="0">
              <a:srgbClr val="759334"/>
            </a:gs>
            <a:gs pos="80000">
              <a:srgbClr val="99C146"/>
            </a:gs>
            <a:gs pos="100000">
              <a:srgbClr val="9BC545"/>
            </a:gs>
          </a:gsLst>
          <a:lin ang="16200000" scaled="0"/>
        </a:gradFill>
        <a:ln>
          <a:noFill/>
        </a:ln>
        <a:effectLst>
          <a:outerShdw kx="800400" rotWithShape="0" algn="br" dir="8100000" dist="12700" sy="-23000">
            <a:srgbClr val="000000">
              <a:alpha val="18823"/>
            </a:srgbClr>
          </a:outerShdw>
        </a:effectLst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17</xdr:col>
      <xdr:colOff>0</xdr:colOff>
      <xdr:row>0</xdr:row>
      <xdr:rowOff>0</xdr:rowOff>
    </xdr:from>
    <xdr:ext cx="1981200" cy="552450"/>
    <xdr:grpSp>
      <xdr:nvGrpSpPr>
        <xdr:cNvPr id="2" name="Shape 2"/>
        <xdr:cNvGrpSpPr/>
      </xdr:nvGrpSpPr>
      <xdr:grpSpPr>
        <a:xfrm>
          <a:off x="4355400" y="3503775"/>
          <a:ext cx="1981200" cy="552450"/>
          <a:chOff x="4355400" y="3503775"/>
          <a:chExt cx="1981200" cy="552450"/>
        </a:xfrm>
      </xdr:grpSpPr>
      <xdr:grpSp>
        <xdr:nvGrpSpPr>
          <xdr:cNvPr id="80" name="Shape 80"/>
          <xdr:cNvGrpSpPr/>
        </xdr:nvGrpSpPr>
        <xdr:grpSpPr>
          <a:xfrm>
            <a:off x="4355400" y="3503775"/>
            <a:ext cx="1981200" cy="552450"/>
            <a:chOff x="4269675" y="3508538"/>
            <a:chExt cx="2152650" cy="542925"/>
          </a:xfrm>
        </xdr:grpSpPr>
        <xdr:sp>
          <xdr:nvSpPr>
            <xdr:cNvPr id="7" name="Shape 7"/>
            <xdr:cNvSpPr/>
          </xdr:nvSpPr>
          <xdr:spPr>
            <a:xfrm>
              <a:off x="4269675" y="3508538"/>
              <a:ext cx="2152650" cy="5429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81" name="Shape 81"/>
            <xdr:cNvGrpSpPr/>
          </xdr:nvGrpSpPr>
          <xdr:grpSpPr>
            <a:xfrm>
              <a:off x="4269675" y="3508538"/>
              <a:ext cx="2152650" cy="542925"/>
              <a:chOff x="4269675" y="3508538"/>
              <a:chExt cx="2152650" cy="542925"/>
            </a:xfrm>
          </xdr:grpSpPr>
          <xdr:sp>
            <xdr:nvSpPr>
              <xdr:cNvPr id="82" name="Shape 82"/>
              <xdr:cNvSpPr/>
            </xdr:nvSpPr>
            <xdr:spPr>
              <a:xfrm>
                <a:off x="4269675" y="3508538"/>
                <a:ext cx="2152650" cy="54292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83" name="Shape 83"/>
              <xdr:cNvGrpSpPr/>
            </xdr:nvGrpSpPr>
            <xdr:grpSpPr>
              <a:xfrm>
                <a:off x="4269675" y="3508538"/>
                <a:ext cx="2152650" cy="542925"/>
                <a:chOff x="3864863" y="3518063"/>
                <a:chExt cx="2962275" cy="523875"/>
              </a:xfrm>
            </xdr:grpSpPr>
            <xdr:sp>
              <xdr:nvSpPr>
                <xdr:cNvPr id="84" name="Shape 84"/>
                <xdr:cNvSpPr/>
              </xdr:nvSpPr>
              <xdr:spPr>
                <a:xfrm>
                  <a:off x="3864863" y="3518063"/>
                  <a:ext cx="2962275" cy="523875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85" name="Shape 85"/>
                <xdr:cNvGrpSpPr/>
              </xdr:nvGrpSpPr>
              <xdr:grpSpPr>
                <a:xfrm>
                  <a:off x="3864863" y="3518063"/>
                  <a:ext cx="2962275" cy="523875"/>
                  <a:chOff x="9172575" y="85725"/>
                  <a:chExt cx="2541646" cy="685799"/>
                </a:xfrm>
              </xdr:grpSpPr>
              <xdr:sp>
                <xdr:nvSpPr>
                  <xdr:cNvPr id="86" name="Shape 86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87" name="Shape 87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BABABA"/>
                      </a:gs>
                      <a:gs pos="35000">
                        <a:srgbClr val="CFCFCF"/>
                      </a:gs>
                      <a:gs pos="100000">
                        <a:srgbClr val="EDEDED"/>
                      </a:gs>
                    </a:gsLst>
                    <a:lin ang="16200000" scaled="0"/>
                  </a:gradFill>
                  <a:ln cap="flat" cmpd="sng" w="9525">
                    <a:solidFill>
                      <a:srgbClr val="000000"/>
                    </a:solidFill>
                    <a:prstDash val="solid"/>
                    <a:round/>
                    <a:headEnd len="sm" w="sm" type="none"/>
                    <a:tailEnd len="sm" w="sm" type="none"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88" name="Shape 88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BABABA"/>
                      </a:gs>
                      <a:gs pos="35000">
                        <a:srgbClr val="CFCFCF"/>
                      </a:gs>
                      <a:gs pos="100000">
                        <a:srgbClr val="EDEDED"/>
                      </a:gs>
                    </a:gsLst>
                    <a:lin ang="16200000" scaled="0"/>
                  </a:gradFill>
                  <a:ln cap="flat" cmpd="sng" w="9525">
                    <a:solidFill>
                      <a:srgbClr val="000000"/>
                    </a:solidFill>
                    <a:prstDash val="solid"/>
                    <a:round/>
                    <a:headEnd len="sm" w="sm" type="none"/>
                    <a:tailEnd len="sm" w="sm" type="none"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17</xdr:col>
      <xdr:colOff>161925</xdr:colOff>
      <xdr:row>43</xdr:row>
      <xdr:rowOff>66675</xdr:rowOff>
    </xdr:from>
    <xdr:ext cx="495300" cy="209550"/>
    <xdr:sp>
      <xdr:nvSpPr>
        <xdr:cNvPr id="89" name="Shape 89"/>
        <xdr:cNvSpPr/>
      </xdr:nvSpPr>
      <xdr:spPr>
        <a:xfrm rot="5400000">
          <a:off x="5241225" y="3537113"/>
          <a:ext cx="209550" cy="485775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C8B0E9"/>
            </a:gs>
            <a:gs pos="35000">
              <a:srgbClr val="D6CAEB"/>
            </a:gs>
            <a:gs pos="100000">
              <a:srgbClr val="EFE8F9"/>
            </a:gs>
          </a:gsLst>
          <a:lin ang="16200000" scaled="0"/>
        </a:gradFill>
        <a:ln cap="flat" cmpd="sng" w="9525">
          <a:solidFill>
            <a:srgbClr val="7A5F9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18</xdr:col>
      <xdr:colOff>-28575</xdr:colOff>
      <xdr:row>30</xdr:row>
      <xdr:rowOff>76200</xdr:rowOff>
    </xdr:from>
    <xdr:ext cx="3238500" cy="4095750"/>
    <xdr:sp>
      <xdr:nvSpPr>
        <xdr:cNvPr id="90" name="Shape 90"/>
        <xdr:cNvSpPr/>
      </xdr:nvSpPr>
      <xdr:spPr>
        <a:xfrm>
          <a:off x="3745800" y="1751175"/>
          <a:ext cx="3200400" cy="4057650"/>
        </a:xfrm>
        <a:prstGeom prst="flowChartMultidocument">
          <a:avLst/>
        </a:prstGeom>
        <a:solidFill>
          <a:srgbClr val="000000"/>
        </a:solidFill>
        <a:ln cap="flat" cmpd="sng" w="38100">
          <a:solidFill>
            <a:srgbClr val="FFFFFF"/>
          </a:solidFill>
          <a:prstDash val="solid"/>
          <a:round/>
          <a:headEnd len="sm" w="sm" type="none"/>
          <a:tailEnd len="sm" w="sm" type="none"/>
        </a:ln>
        <a:effectLst>
          <a:outerShdw rotWithShape="0" dir="5400000" dist="20000">
            <a:srgbClr val="000000">
              <a:alpha val="36470"/>
            </a:srgbClr>
          </a:outerShdw>
        </a:effectLst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4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इस वर्ष 2025 - 2026 की नेट टैक्सेबल इनकम एरियर सहित राशि दस के गुणांक में लिखी जाएगी I </a:t>
          </a:r>
          <a:r>
            <a:rPr b="1" lang="en-US" sz="1200">
              <a:solidFill>
                <a:srgbClr val="FFFF00"/>
              </a:solidFill>
              <a:latin typeface="Calibri"/>
              <a:ea typeface="Calibri"/>
              <a:cs typeface="Calibri"/>
              <a:sym typeface="Calibri"/>
            </a:rPr>
            <a:t>(वैसे यह राशि ऑटो आ जाएगी , फिर भी सावधानी से चेक करें I)</a:t>
          </a:r>
          <a:endParaRPr sz="1400"/>
        </a:p>
      </xdr:txBody>
    </xdr:sp>
    <xdr:clientData fLocksWithSheet="0"/>
  </xdr:oneCellAnchor>
  <xdr:oneCellAnchor>
    <xdr:from>
      <xdr:col>17</xdr:col>
      <xdr:colOff>104775</xdr:colOff>
      <xdr:row>4</xdr:row>
      <xdr:rowOff>152400</xdr:rowOff>
    </xdr:from>
    <xdr:ext cx="3514725" cy="1362075"/>
    <xdr:sp>
      <xdr:nvSpPr>
        <xdr:cNvPr id="91" name="Shape 91"/>
        <xdr:cNvSpPr/>
      </xdr:nvSpPr>
      <xdr:spPr>
        <a:xfrm>
          <a:off x="3593400" y="3103725"/>
          <a:ext cx="3505200" cy="1352550"/>
        </a:xfrm>
        <a:prstGeom prst="horizontalScroll">
          <a:avLst>
            <a:gd fmla="val 12500" name="adj"/>
          </a:avLst>
        </a:prstGeom>
        <a:gradFill>
          <a:gsLst>
            <a:gs pos="0">
              <a:srgbClr val="9BE9FF"/>
            </a:gs>
            <a:gs pos="35000">
              <a:srgbClr val="B7F0FF"/>
            </a:gs>
            <a:gs pos="100000">
              <a:srgbClr val="E2FBFF"/>
            </a:gs>
          </a:gsLst>
          <a:lin ang="16200000" scaled="0"/>
        </a:gradFill>
        <a:ln cap="flat" cmpd="sng" w="9525">
          <a:solidFill>
            <a:srgbClr val="44A8C3"/>
          </a:solidFill>
          <a:prstDash val="solid"/>
          <a:round/>
          <a:headEnd len="sm" w="sm" type="none"/>
          <a:tailEnd len="sm" w="sm" type="none"/>
        </a:ln>
        <a:effectLst>
          <a:outerShdw rotWithShape="0" dir="5400000" dist="20000">
            <a:srgbClr val="000000">
              <a:alpha val="36470"/>
            </a:srgbClr>
          </a:outerShdw>
        </a:effectLst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2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सत्र के दौरान नेट टैक्सेबल राशि दस के गुणांक में लिखनी हैं I इसके अंतर्गत सभी तरह की कटौतियां व छुट को घटा कर लिखना है I</a:t>
          </a:r>
          <a:endParaRPr sz="1400"/>
        </a:p>
      </xdr:txBody>
    </xdr:sp>
    <xdr:clientData fLocksWithSheet="0"/>
  </xdr:oneCellAnchor>
  <xdr:oneCellAnchor>
    <xdr:from>
      <xdr:col>18</xdr:col>
      <xdr:colOff>304800</xdr:colOff>
      <xdr:row>11</xdr:row>
      <xdr:rowOff>0</xdr:rowOff>
    </xdr:from>
    <xdr:ext cx="2867025" cy="704850"/>
    <xdr:sp>
      <xdr:nvSpPr>
        <xdr:cNvPr id="92" name="Shape 92"/>
        <xdr:cNvSpPr/>
      </xdr:nvSpPr>
      <xdr:spPr>
        <a:xfrm>
          <a:off x="3917250" y="3432338"/>
          <a:ext cx="2857500" cy="695325"/>
        </a:xfrm>
        <a:prstGeom prst="wedgeEllipseCallout">
          <a:avLst>
            <a:gd fmla="val -20833" name="adj1"/>
            <a:gd fmla="val 62500" name="adj2"/>
          </a:avLst>
        </a:prstGeom>
        <a:gradFill>
          <a:gsLst>
            <a:gs pos="0">
              <a:srgbClr val="C8B0E9"/>
            </a:gs>
            <a:gs pos="35000">
              <a:srgbClr val="D6CAEB"/>
            </a:gs>
            <a:gs pos="100000">
              <a:srgbClr val="EFE8F9"/>
            </a:gs>
          </a:gsLst>
          <a:lin ang="16200000" scaled="0"/>
        </a:gradFill>
        <a:ln cap="flat" cmpd="sng" w="9525">
          <a:solidFill>
            <a:srgbClr val="7A5F9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2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यहाँ एरियर राशि जो उन सत्र के दौरान मिलनी थी , को लिखनी है I</a:t>
          </a:r>
          <a:endParaRPr sz="1400"/>
        </a:p>
      </xdr:txBody>
    </xdr:sp>
    <xdr:clientData fLocksWithSheet="0"/>
  </xdr:oneCellAnchor>
  <xdr:oneCellAnchor>
    <xdr:from>
      <xdr:col>18</xdr:col>
      <xdr:colOff>114300</xdr:colOff>
      <xdr:row>19</xdr:row>
      <xdr:rowOff>0</xdr:rowOff>
    </xdr:from>
    <xdr:ext cx="495300" cy="228600"/>
    <xdr:sp>
      <xdr:nvSpPr>
        <xdr:cNvPr id="93" name="Shape 93"/>
        <xdr:cNvSpPr/>
      </xdr:nvSpPr>
      <xdr:spPr>
        <a:xfrm rot="5400000">
          <a:off x="5236463" y="3537113"/>
          <a:ext cx="219075" cy="485775"/>
        </a:xfrm>
        <a:prstGeom prst="downArrow">
          <a:avLst>
            <a:gd fmla="val 50000" name="adj1"/>
            <a:gd fmla="val 50000" name="adj2"/>
          </a:avLst>
        </a:prstGeom>
        <a:gradFill>
          <a:gsLst>
            <a:gs pos="0">
              <a:srgbClr val="9BE9FF"/>
            </a:gs>
            <a:gs pos="35000">
              <a:srgbClr val="B7F0FF"/>
            </a:gs>
            <a:gs pos="100000">
              <a:srgbClr val="E2FBFF"/>
            </a:gs>
          </a:gsLst>
          <a:lin ang="16200000" scaled="0"/>
        </a:gradFill>
        <a:ln cap="flat" cmpd="sng" w="9525">
          <a:solidFill>
            <a:srgbClr val="44A8C3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4</xdr:col>
      <xdr:colOff>304800</xdr:colOff>
      <xdr:row>0</xdr:row>
      <xdr:rowOff>19050</xdr:rowOff>
    </xdr:from>
    <xdr:ext cx="2676525" cy="514350"/>
    <xdr:sp>
      <xdr:nvSpPr>
        <xdr:cNvPr id="94" name="Shape 94"/>
        <xdr:cNvSpPr/>
      </xdr:nvSpPr>
      <xdr:spPr>
        <a:xfrm>
          <a:off x="4022025" y="3537113"/>
          <a:ext cx="2647950" cy="485775"/>
        </a:xfrm>
        <a:prstGeom prst="frame">
          <a:avLst>
            <a:gd fmla="val 12500" name="adj1"/>
          </a:avLst>
        </a:prstGeom>
        <a:solidFill>
          <a:srgbClr val="4F81BD"/>
        </a:solidFill>
        <a:ln cap="flat" cmpd="sng" w="25400">
          <a:solidFill>
            <a:srgbClr val="375D89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18</xdr:col>
      <xdr:colOff>542925</xdr:colOff>
      <xdr:row>0</xdr:row>
      <xdr:rowOff>171450</xdr:rowOff>
    </xdr:from>
    <xdr:ext cx="1285875" cy="628650"/>
    <xdr:grpSp>
      <xdr:nvGrpSpPr>
        <xdr:cNvPr id="2" name="Shape 2"/>
        <xdr:cNvGrpSpPr/>
      </xdr:nvGrpSpPr>
      <xdr:grpSpPr>
        <a:xfrm>
          <a:off x="4703063" y="3465675"/>
          <a:ext cx="1285875" cy="628650"/>
          <a:chOff x="4703063" y="3465675"/>
          <a:chExt cx="1285875" cy="628650"/>
        </a:xfrm>
      </xdr:grpSpPr>
      <xdr:grpSp>
        <xdr:nvGrpSpPr>
          <xdr:cNvPr id="95" name="Shape 95"/>
          <xdr:cNvGrpSpPr/>
        </xdr:nvGrpSpPr>
        <xdr:grpSpPr>
          <a:xfrm>
            <a:off x="4703063" y="3465675"/>
            <a:ext cx="1285875" cy="628650"/>
            <a:chOff x="4631625" y="3465675"/>
            <a:chExt cx="1428750" cy="628650"/>
          </a:xfrm>
        </xdr:grpSpPr>
        <xdr:sp>
          <xdr:nvSpPr>
            <xdr:cNvPr id="7" name="Shape 7"/>
            <xdr:cNvSpPr/>
          </xdr:nvSpPr>
          <xdr:spPr>
            <a:xfrm>
              <a:off x="4631625" y="3465675"/>
              <a:ext cx="1428750" cy="62865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96" name="Shape 96"/>
            <xdr:cNvGrpSpPr/>
          </xdr:nvGrpSpPr>
          <xdr:grpSpPr>
            <a:xfrm>
              <a:off x="4631625" y="3465675"/>
              <a:ext cx="1428750" cy="628650"/>
              <a:chOff x="4631625" y="3465675"/>
              <a:chExt cx="1428750" cy="628650"/>
            </a:xfrm>
          </xdr:grpSpPr>
          <xdr:sp>
            <xdr:nvSpPr>
              <xdr:cNvPr id="97" name="Shape 97"/>
              <xdr:cNvSpPr/>
            </xdr:nvSpPr>
            <xdr:spPr>
              <a:xfrm>
                <a:off x="4631625" y="3465675"/>
                <a:ext cx="1428750" cy="62865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98" name="Shape 98"/>
              <xdr:cNvGrpSpPr/>
            </xdr:nvGrpSpPr>
            <xdr:grpSpPr>
              <a:xfrm>
                <a:off x="4631625" y="3465675"/>
                <a:ext cx="1428750" cy="628650"/>
                <a:chOff x="4360163" y="3465675"/>
                <a:chExt cx="1971675" cy="628650"/>
              </a:xfrm>
            </xdr:grpSpPr>
            <xdr:sp>
              <xdr:nvSpPr>
                <xdr:cNvPr id="99" name="Shape 99"/>
                <xdr:cNvSpPr/>
              </xdr:nvSpPr>
              <xdr:spPr>
                <a:xfrm>
                  <a:off x="4360163" y="3465675"/>
                  <a:ext cx="1971675" cy="628650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100" name="Shape 100"/>
                <xdr:cNvGrpSpPr/>
              </xdr:nvGrpSpPr>
              <xdr:grpSpPr>
                <a:xfrm>
                  <a:off x="4360163" y="3465675"/>
                  <a:ext cx="1971675" cy="628650"/>
                  <a:chOff x="9172575" y="85725"/>
                  <a:chExt cx="2541646" cy="685799"/>
                </a:xfrm>
              </xdr:grpSpPr>
              <xdr:sp>
                <xdr:nvSpPr>
                  <xdr:cNvPr id="101" name="Shape 101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102" name="Shape 102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103" name="Shape 103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27839E"/>
                      </a:gs>
                      <a:gs pos="80000">
                        <a:srgbClr val="36AFD0"/>
                      </a:gs>
                      <a:gs pos="100000">
                        <a:srgbClr val="33B2D5"/>
                      </a:gs>
                    </a:gsLst>
                    <a:lin ang="16200000" scaled="0"/>
                  </a:gradFill>
                  <a:ln>
                    <a:noFill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266700</xdr:colOff>
      <xdr:row>24</xdr:row>
      <xdr:rowOff>114300</xdr:rowOff>
    </xdr:from>
    <xdr:ext cx="1581150" cy="781050"/>
    <xdr:sp>
      <xdr:nvSpPr>
        <xdr:cNvPr id="104" name="Shape 104"/>
        <xdr:cNvSpPr/>
      </xdr:nvSpPr>
      <xdr:spPr>
        <a:xfrm>
          <a:off x="4560188" y="3394238"/>
          <a:ext cx="1571625" cy="771525"/>
        </a:xfrm>
        <a:prstGeom prst="wedgeEllipseCallout">
          <a:avLst>
            <a:gd fmla="val -20833" name="adj1"/>
            <a:gd fmla="val 62500" name="adj2"/>
          </a:avLst>
        </a:prstGeom>
        <a:gradFill>
          <a:gsLst>
            <a:gs pos="0">
              <a:srgbClr val="5D427D"/>
            </a:gs>
            <a:gs pos="80000">
              <a:srgbClr val="7A57A5"/>
            </a:gs>
            <a:gs pos="100000">
              <a:srgbClr val="7855A7"/>
            </a:gs>
          </a:gsLst>
          <a:lin ang="16200000" scaled="0"/>
        </a:gradFill>
        <a:ln cap="flat" cmpd="sng" w="9525">
          <a:solidFill>
            <a:srgbClr val="7A5F9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FFFFFF"/>
              </a:solidFill>
              <a:latin typeface="Calibri"/>
              <a:ea typeface="Calibri"/>
              <a:cs typeface="Calibri"/>
              <a:sym typeface="Calibri"/>
            </a:rPr>
            <a:t>यह राशि धारा 89 (1) के तहत छुट मिलने वाली है I</a:t>
          </a:r>
          <a:endParaRPr sz="1400"/>
        </a:p>
      </xdr:txBody>
    </xdr:sp>
    <xdr:clientData fLocksWithSheet="0"/>
  </xdr:oneCellAnchor>
  <xdr:oneCellAnchor>
    <xdr:from>
      <xdr:col>15</xdr:col>
      <xdr:colOff>647700</xdr:colOff>
      <xdr:row>1</xdr:row>
      <xdr:rowOff>95250</xdr:rowOff>
    </xdr:from>
    <xdr:ext cx="1133475" cy="609600"/>
    <xdr:grpSp>
      <xdr:nvGrpSpPr>
        <xdr:cNvPr id="2" name="Shape 2"/>
        <xdr:cNvGrpSpPr/>
      </xdr:nvGrpSpPr>
      <xdr:grpSpPr>
        <a:xfrm>
          <a:off x="4779263" y="3475200"/>
          <a:ext cx="1133475" cy="609600"/>
          <a:chOff x="4779263" y="3475200"/>
          <a:chExt cx="1133475" cy="609600"/>
        </a:xfrm>
      </xdr:grpSpPr>
      <xdr:grpSp>
        <xdr:nvGrpSpPr>
          <xdr:cNvPr id="105" name="Shape 105"/>
          <xdr:cNvGrpSpPr/>
        </xdr:nvGrpSpPr>
        <xdr:grpSpPr>
          <a:xfrm>
            <a:off x="4779263" y="3475200"/>
            <a:ext cx="1133475" cy="609600"/>
            <a:chOff x="4745925" y="3475200"/>
            <a:chExt cx="1200150" cy="609600"/>
          </a:xfrm>
        </xdr:grpSpPr>
        <xdr:sp>
          <xdr:nvSpPr>
            <xdr:cNvPr id="7" name="Shape 7"/>
            <xdr:cNvSpPr/>
          </xdr:nvSpPr>
          <xdr:spPr>
            <a:xfrm>
              <a:off x="4745925" y="3475200"/>
              <a:ext cx="1200150" cy="6096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106" name="Shape 106"/>
            <xdr:cNvGrpSpPr/>
          </xdr:nvGrpSpPr>
          <xdr:grpSpPr>
            <a:xfrm>
              <a:off x="4745925" y="3475200"/>
              <a:ext cx="1200150" cy="609600"/>
              <a:chOff x="4745925" y="3475200"/>
              <a:chExt cx="1200150" cy="609600"/>
            </a:xfrm>
          </xdr:grpSpPr>
          <xdr:sp>
            <xdr:nvSpPr>
              <xdr:cNvPr id="107" name="Shape 107"/>
              <xdr:cNvSpPr/>
            </xdr:nvSpPr>
            <xdr:spPr>
              <a:xfrm>
                <a:off x="4745925" y="3475200"/>
                <a:ext cx="1200150" cy="6096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grpSp>
            <xdr:nvGrpSpPr>
              <xdr:cNvPr id="108" name="Shape 108"/>
              <xdr:cNvGrpSpPr/>
            </xdr:nvGrpSpPr>
            <xdr:grpSpPr>
              <a:xfrm>
                <a:off x="4745925" y="3475200"/>
                <a:ext cx="1200150" cy="609600"/>
                <a:chOff x="4460175" y="3475200"/>
                <a:chExt cx="1771650" cy="609600"/>
              </a:xfrm>
            </xdr:grpSpPr>
            <xdr:sp>
              <xdr:nvSpPr>
                <xdr:cNvPr id="109" name="Shape 109"/>
                <xdr:cNvSpPr/>
              </xdr:nvSpPr>
              <xdr:spPr>
                <a:xfrm>
                  <a:off x="4460175" y="3475200"/>
                  <a:ext cx="1771650" cy="609600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grpSp>
              <xdr:nvGrpSpPr>
                <xdr:cNvPr id="110" name="Shape 110"/>
                <xdr:cNvGrpSpPr/>
              </xdr:nvGrpSpPr>
              <xdr:grpSpPr>
                <a:xfrm>
                  <a:off x="4460175" y="3475200"/>
                  <a:ext cx="1771650" cy="609600"/>
                  <a:chOff x="9172575" y="85725"/>
                  <a:chExt cx="2541646" cy="685799"/>
                </a:xfrm>
              </xdr:grpSpPr>
              <xdr:sp>
                <xdr:nvSpPr>
                  <xdr:cNvPr id="111" name="Shape 111"/>
                  <xdr:cNvSpPr/>
                </xdr:nvSpPr>
                <xdr:spPr>
                  <a:xfrm>
                    <a:off x="9172575" y="85725"/>
                    <a:ext cx="2541625" cy="685775"/>
                  </a:xfrm>
                  <a:prstGeom prst="rect">
                    <a:avLst/>
                  </a:prstGeom>
                  <a:noFill/>
                  <a:ln>
                    <a:noFill/>
                  </a:ln>
                </xdr:spPr>
                <xdr:txBody>
                  <a:bodyPr anchorCtr="0" anchor="t" bIns="45700" lIns="91425" spcFirstLastPara="1" rIns="91425" wrap="square" tIns="45700">
                    <a:noAutofit/>
                  </a:bodyPr>
                  <a:lstStyle/>
                  <a:p>
                    <a:pPr indent="0" lvl="0" marL="0" rtl="0" algn="l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t/>
                    </a:r>
                    <a:endParaRPr sz="1400"/>
                  </a:p>
                </xdr:txBody>
              </xdr:sp>
              <xdr:sp>
                <xdr:nvSpPr>
                  <xdr:cNvPr id="112" name="Shape 112">
                    <a:hlinkClick r:id="rId1"/>
                  </xdr:cNvPr>
                  <xdr:cNvSpPr/>
                </xdr:nvSpPr>
                <xdr:spPr>
                  <a:xfrm>
                    <a:off x="9172575" y="85725"/>
                    <a:ext cx="1181100" cy="685799"/>
                  </a:xfrm>
                  <a:prstGeom prst="lef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BABABA"/>
                      </a:gs>
                      <a:gs pos="35000">
                        <a:srgbClr val="CFCFCF"/>
                      </a:gs>
                      <a:gs pos="100000">
                        <a:srgbClr val="EDEDED"/>
                      </a:gs>
                    </a:gsLst>
                    <a:lin ang="16200000" scaled="0"/>
                  </a:gradFill>
                  <a:ln cap="flat" cmpd="sng" w="9525">
                    <a:solidFill>
                      <a:srgbClr val="000000"/>
                    </a:solidFill>
                    <a:prstDash val="solid"/>
                    <a:round/>
                    <a:headEnd len="sm" w="sm" type="none"/>
                    <a:tailEnd len="sm" w="sm" type="none"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000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BACK </a:t>
                    </a:r>
                    <a:endParaRPr sz="1400"/>
                  </a:p>
                </xdr:txBody>
              </xdr:sp>
              <xdr:sp>
                <xdr:nvSpPr>
                  <xdr:cNvPr id="113" name="Shape 113">
                    <a:hlinkClick r:id="rId2"/>
                  </xdr:cNvPr>
                  <xdr:cNvSpPr/>
                </xdr:nvSpPr>
                <xdr:spPr>
                  <a:xfrm>
                    <a:off x="10563991" y="103539"/>
                    <a:ext cx="1150230" cy="623454"/>
                  </a:xfrm>
                  <a:prstGeom prst="rightArrow">
                    <a:avLst>
                      <a:gd fmla="val 50000" name="adj1"/>
                      <a:gd fmla="val 50000" name="adj2"/>
                    </a:avLst>
                  </a:prstGeom>
                  <a:gradFill>
                    <a:gsLst>
                      <a:gs pos="0">
                        <a:srgbClr val="BABABA"/>
                      </a:gs>
                      <a:gs pos="35000">
                        <a:srgbClr val="CFCFCF"/>
                      </a:gs>
                      <a:gs pos="100000">
                        <a:srgbClr val="EDEDED"/>
                      </a:gs>
                    </a:gsLst>
                    <a:lin ang="16200000" scaled="0"/>
                  </a:gradFill>
                  <a:ln cap="flat" cmpd="sng" w="9525">
                    <a:solidFill>
                      <a:srgbClr val="000000"/>
                    </a:solidFill>
                    <a:prstDash val="solid"/>
                    <a:round/>
                    <a:headEnd len="sm" w="sm" type="none"/>
                    <a:tailEnd len="sm" w="sm" type="none"/>
                  </a:ln>
                </xdr:spPr>
                <xdr:txBody>
                  <a:bodyPr anchorCtr="0" anchor="ctr" bIns="45675" lIns="91425" spcFirstLastPara="1" rIns="91425" wrap="square" tIns="45675">
                    <a:noAutofit/>
                  </a:bodyPr>
                  <a:lstStyle/>
                  <a:p>
                    <a:pPr indent="0" lvl="0" marL="0" rtl="0" algn="ctr">
                      <a:spcBef>
                        <a:spcPts val="0"/>
                      </a:spcBef>
                      <a:spcAft>
                        <a:spcPts val="0"/>
                      </a:spcAft>
                      <a:buNone/>
                    </a:pPr>
                    <a:r>
                      <a:rPr b="1" lang="en-US" sz="1800">
                        <a:solidFill>
                          <a:srgbClr val="FF8080"/>
                        </a:solidFill>
                        <a:latin typeface="Calibri"/>
                        <a:ea typeface="Calibri"/>
                        <a:cs typeface="Calibri"/>
                        <a:sym typeface="Calibri"/>
                      </a:rPr>
                      <a:t>NEXT </a:t>
                    </a:r>
                    <a:endParaRPr sz="1400"/>
                  </a:p>
                </xdr:txBody>
              </xdr:sp>
            </xdr:grpSp>
          </xdr:grpSp>
        </xdr:grpSp>
      </xdr:grpSp>
    </xdr:grp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0</xdr:colOff>
      <xdr:row>2</xdr:row>
      <xdr:rowOff>95250</xdr:rowOff>
    </xdr:from>
    <xdr:ext cx="781050" cy="762000"/>
    <xdr:sp>
      <xdr:nvSpPr>
        <xdr:cNvPr id="114" name="Shape 114">
          <a:hlinkClick r:id="rId1"/>
        </xdr:cNvPr>
        <xdr:cNvSpPr/>
      </xdr:nvSpPr>
      <xdr:spPr>
        <a:xfrm>
          <a:off x="4960238" y="3403763"/>
          <a:ext cx="771525" cy="752475"/>
        </a:xfrm>
        <a:prstGeom prst="leftArrow">
          <a:avLst>
            <a:gd fmla="val 50000" name="adj1"/>
            <a:gd fmla="val 50000" name="adj2"/>
          </a:avLst>
        </a:prstGeom>
        <a:gradFill>
          <a:gsLst>
            <a:gs pos="0">
              <a:srgbClr val="BABABA"/>
            </a:gs>
            <a:gs pos="35000">
              <a:srgbClr val="CFCFCF"/>
            </a:gs>
            <a:gs pos="100000">
              <a:srgbClr val="EDEDED"/>
            </a:gs>
          </a:gsLst>
          <a:lin ang="16200000" scaled="0"/>
        </a:gra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8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BACK </a:t>
          </a:r>
          <a:endParaRPr sz="1400"/>
        </a:p>
      </xdr:txBody>
    </xdr:sp>
    <xdr:clientData fLocksWithSheet="0"/>
  </xdr:oneCellAnchor>
  <xdr:oneCellAnchor>
    <xdr:from>
      <xdr:col>14</xdr:col>
      <xdr:colOff>0</xdr:colOff>
      <xdr:row>7</xdr:row>
      <xdr:rowOff>133350</xdr:rowOff>
    </xdr:from>
    <xdr:ext cx="1200150" cy="914400"/>
    <xdr:sp>
      <xdr:nvSpPr>
        <xdr:cNvPr id="115" name="Shape 115">
          <a:hlinkClick r:id="rId2"/>
        </xdr:cNvPr>
        <xdr:cNvSpPr/>
      </xdr:nvSpPr>
      <xdr:spPr>
        <a:xfrm>
          <a:off x="4750688" y="3327563"/>
          <a:ext cx="1190625" cy="904875"/>
        </a:xfrm>
        <a:prstGeom prst="leftArrow">
          <a:avLst>
            <a:gd fmla="val 50000" name="adj1"/>
            <a:gd fmla="val 50000" name="adj2"/>
          </a:avLst>
        </a:prstGeom>
        <a:gradFill>
          <a:gsLst>
            <a:gs pos="0">
              <a:srgbClr val="9BE9FF"/>
            </a:gs>
            <a:gs pos="35000">
              <a:srgbClr val="B7F0FF"/>
            </a:gs>
            <a:gs pos="100000">
              <a:srgbClr val="E2FBFF"/>
            </a:gs>
          </a:gsLst>
          <a:lin ang="16200000" scaled="0"/>
        </a:gradFill>
        <a:ln cap="flat" cmpd="sng" w="9525">
          <a:solidFill>
            <a:srgbClr val="44A8C3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675" lIns="91425" spcFirstLastPara="1" rIns="91425" wrap="square" tIns="4567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4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Go to Master sheet</a:t>
          </a:r>
          <a:endParaRPr sz="1400"/>
        </a:p>
      </xdr:txBody>
    </xdr:sp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SHREE/Downloads/abcaus-hra-exemption-calculator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SHREE/Downloads/Micro-Income-Tax-Excel-Software-FY-2019-20-Updated-03122019.xlsm" TargetMode="External"/></Relationships>
</file>

<file path=xl/externalLinks/_rels/externalLink3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SHREE/Downloads/INCOME%2520TAX%2520SOFTWARE%25202020-21.xlsm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hra-calculator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Master"/>
      <sheetName val="GA 55"/>
      <sheetName val="Extra deduc"/>
      <sheetName val="COMPUTATION"/>
      <sheetName val="Micro-Income-Tax-Excel-Software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Computation sheet"/>
      <sheetName val="Information &amp; Rules"/>
      <sheetName val="Developer's desk"/>
      <sheetName val="ENTRY"/>
      <sheetName val="G.A. 55"/>
      <sheetName val="Tax Calculator BOTH REGIME"/>
      <sheetName val="TAX (OLD)"/>
      <sheetName val="TAX (NEW)"/>
      <sheetName val="16 NO."/>
      <sheetName val="HRA"/>
      <sheetName val="89(1)form"/>
      <sheetName val="Form10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Y77okwT3eaw" TargetMode="External"/><Relationship Id="rId2" Type="http://schemas.openxmlformats.org/officeDocument/2006/relationships/hyperlink" Target="mailto:heeralaljatchandawal@gmail.com" TargetMode="External"/><Relationship Id="rId3" Type="http://schemas.openxmlformats.org/officeDocument/2006/relationships/hyperlink" Target="https://www.youtube.com/playlist?list=PLmNJTudmvkgL-ZI7qFKfQ6oz6WTNnW31z" TargetMode="External"/><Relationship Id="rId4" Type="http://schemas.openxmlformats.org/officeDocument/2006/relationships/hyperlink" Target="https://www.youtube.com/c/Heeralaljat" TargetMode="External"/><Relationship Id="rId5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youtube.com/watch?v=y7-DiFIbdG0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www.youtube.com/watch?v=y7-DiFIbdG0" TargetMode="External"/><Relationship Id="rId3" Type="http://schemas.openxmlformats.org/officeDocument/2006/relationships/drawing" Target="../drawings/drawing3.xm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youtu.be/Y77okwT3eaw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www.youtube.com/watch?v=NWwIhkhEUoc" TargetMode="External"/><Relationship Id="rId2" Type="http://schemas.openxmlformats.org/officeDocument/2006/relationships/hyperlink" Target="https://youtu.be/uHA1arAjess" TargetMode="External"/><Relationship Id="rId3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hyperlink" Target="https://www.youtube.com/watch?v=TJ5dWmZplAk" TargetMode="External"/><Relationship Id="rId2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0.43"/>
    <col customWidth="1" min="2" max="2" width="23.71"/>
    <col customWidth="1" min="3" max="3" width="111.0"/>
    <col customWidth="1" min="4" max="4" width="33.86"/>
    <col customWidth="1" hidden="1" min="5" max="6" width="9.0"/>
    <col customWidth="1" min="7" max="24" width="8.71"/>
    <col customWidth="1" min="25" max="26" width="14.0"/>
  </cols>
  <sheetData>
    <row r="1">
      <c r="A1" s="1"/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57.0" customHeight="1">
      <c r="A3" s="1"/>
      <c r="B3" s="3" t="s">
        <v>1</v>
      </c>
      <c r="C3" s="4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4.75" customHeight="1">
      <c r="A4" s="1"/>
      <c r="B4" s="5"/>
      <c r="C4" s="6" t="s">
        <v>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33.0" customHeight="1">
      <c r="A5" s="1"/>
      <c r="B5" s="7"/>
      <c r="C5" s="8" t="s">
        <v>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10.25" customHeight="1">
      <c r="A6" s="1"/>
      <c r="B6" s="9"/>
      <c r="C6" s="10" t="s">
        <v>4</v>
      </c>
      <c r="D6" s="1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40.5" customHeight="1">
      <c r="A7" s="1"/>
      <c r="B7" s="12" t="s">
        <v>5</v>
      </c>
      <c r="C7" s="13" t="s">
        <v>6</v>
      </c>
      <c r="D7" s="14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4.75" customHeight="1">
      <c r="A8" s="1"/>
      <c r="B8" s="15" t="s">
        <v>8</v>
      </c>
      <c r="C8" s="4"/>
      <c r="D8" s="1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51.75" customHeight="1">
      <c r="A9" s="1"/>
      <c r="B9" s="17" t="s">
        <v>9</v>
      </c>
      <c r="C9" s="4"/>
      <c r="D9" s="16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0.5" customHeight="1">
      <c r="A10" s="1"/>
      <c r="B10" s="18"/>
      <c r="C10" s="19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36.0" customHeight="1">
      <c r="A11" s="1"/>
      <c r="B11" s="20" t="s">
        <v>10</v>
      </c>
      <c r="C11" s="21"/>
      <c r="D11" s="22" t="s">
        <v>11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8.0" customHeight="1">
      <c r="A12" s="1"/>
      <c r="B12" s="23"/>
      <c r="D12" s="24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9.75" customHeight="1">
      <c r="A13" s="1"/>
      <c r="B13" s="25" t="s">
        <v>12</v>
      </c>
      <c r="C13" s="26"/>
      <c r="D13" s="27" t="s">
        <v>13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0.0" customHeight="1">
      <c r="A15" s="1"/>
      <c r="B15" s="28" t="s">
        <v>14</v>
      </c>
      <c r="C15" s="29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0.0" customHeight="1">
      <c r="A16" s="1"/>
      <c r="B16" s="30" t="s">
        <v>15</v>
      </c>
      <c r="C16" s="3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30.0" customHeight="1">
      <c r="A17" s="1"/>
      <c r="B17" s="32" t="s">
        <v>16</v>
      </c>
      <c r="C17" s="3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30.0" customHeight="1">
      <c r="A18" s="1"/>
      <c r="B18" s="33" t="s">
        <v>17</v>
      </c>
      <c r="C18" s="3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30.0" customHeight="1">
      <c r="A19" s="1"/>
      <c r="B19" s="34" t="s">
        <v>18</v>
      </c>
      <c r="C19" s="35"/>
      <c r="D19" s="3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40.5" customHeight="1">
      <c r="A20" s="1"/>
      <c r="B20" s="1"/>
      <c r="C20" s="1"/>
      <c r="D20" s="37" t="s">
        <v>19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6.25" customHeight="1">
      <c r="A21" s="1"/>
      <c r="B21" s="1"/>
      <c r="C21" s="38" t="s">
        <v>20</v>
      </c>
      <c r="D21" s="39">
        <v>45966.0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"/>
      <c r="C22" s="40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4.0" customHeight="1">
      <c r="A24" s="1"/>
      <c r="B24" s="1"/>
      <c r="C24" s="41" t="s">
        <v>21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3.0" customHeight="1">
      <c r="A26" s="1"/>
      <c r="B26" s="1"/>
      <c r="C26" s="42" t="s">
        <v>22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22.5" customHeight="1">
      <c r="A28" s="1"/>
      <c r="B28" s="1"/>
      <c r="C28" s="43" t="s">
        <v>23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0" customHeight="1">
      <c r="A29" s="1"/>
      <c r="B29" s="1"/>
      <c r="C29" s="44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B15:C15"/>
    <mergeCell ref="B16:C16"/>
    <mergeCell ref="B17:C17"/>
    <mergeCell ref="B18:C18"/>
    <mergeCell ref="B19:C19"/>
    <mergeCell ref="C21:C22"/>
    <mergeCell ref="B3:C3"/>
    <mergeCell ref="B4:B6"/>
    <mergeCell ref="B8:C8"/>
    <mergeCell ref="B9:C9"/>
    <mergeCell ref="B10:C10"/>
    <mergeCell ref="B12:C12"/>
    <mergeCell ref="B13:C13"/>
  </mergeCells>
  <hyperlinks>
    <hyperlink r:id="rId1" ref="D13"/>
    <hyperlink r:id="rId2" ref="B18"/>
    <hyperlink r:id="rId3" ref="C24"/>
    <hyperlink r:id="rId4" ref="C28"/>
  </hyperlinks>
  <printOptions/>
  <pageMargins bottom="0.75" footer="0.0" header="0.0" left="0.7" right="0.7" top="0.75"/>
  <pageSetup paperSize="9" orientation="landscape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hidden="1" min="1" max="1" width="6.86"/>
    <col customWidth="1" hidden="1" min="2" max="2" width="8.14"/>
    <col customWidth="1" min="3" max="3" width="5.71"/>
    <col customWidth="1" min="4" max="4" width="20.29"/>
    <col customWidth="1" min="5" max="5" width="14.43"/>
    <col customWidth="1" min="6" max="6" width="11.0"/>
    <col customWidth="1" min="7" max="7" width="11.29"/>
    <col customWidth="1" min="8" max="13" width="10.71"/>
    <col customWidth="1" min="14" max="14" width="9.14"/>
    <col customWidth="1" min="15" max="15" width="13.0"/>
    <col customWidth="1" min="16" max="24" width="8.71"/>
    <col customWidth="1" min="25" max="25" width="10.43"/>
    <col customWidth="1" min="26" max="27" width="8.71"/>
    <col customWidth="1" min="28" max="28" width="9.86"/>
    <col customWidth="1" min="29" max="29" width="10.14"/>
    <col customWidth="1" min="30" max="30" width="10.71"/>
    <col customWidth="1" min="31" max="31" width="12.14"/>
    <col customWidth="1" min="32" max="32" width="11.43"/>
    <col customWidth="1" hidden="1" min="33" max="41" width="9.14"/>
    <col customWidth="1" hidden="1" min="42" max="42" width="12.71"/>
    <col customWidth="1" hidden="1" min="43" max="43" width="10.29"/>
    <col customWidth="1" hidden="1" min="44" max="44" width="9.86"/>
    <col customWidth="1" hidden="1" min="45" max="47" width="9.14"/>
    <col customWidth="1" hidden="1" min="48" max="48" width="10.14"/>
    <col customWidth="1" hidden="1" min="49" max="49" width="5.57"/>
    <col customWidth="1" hidden="1" min="50" max="50" width="8.71"/>
    <col customWidth="1" hidden="1" min="51" max="51" width="7.29"/>
    <col customWidth="1" hidden="1" min="52" max="52" width="9.0"/>
    <col customWidth="1" hidden="1" min="53" max="53" width="6.29"/>
    <col customWidth="1" hidden="1" min="54" max="54" width="5.57"/>
    <col customWidth="1" hidden="1" min="55" max="56" width="6.43"/>
    <col customWidth="1" hidden="1" min="57" max="57" width="7.57"/>
    <col customWidth="1" hidden="1" min="58" max="62" width="5.57"/>
    <col customWidth="1" hidden="1" min="63" max="64" width="9.43"/>
    <col customWidth="1" hidden="1" min="65" max="98" width="9.14"/>
  </cols>
  <sheetData>
    <row r="1" ht="26.25" customHeight="1">
      <c r="A1" s="45"/>
      <c r="B1" s="45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7" t="s">
        <v>24</v>
      </c>
      <c r="U1" s="48"/>
      <c r="V1" s="48"/>
      <c r="W1" s="48"/>
      <c r="X1" s="48"/>
      <c r="Y1" s="49"/>
      <c r="Z1" s="46"/>
      <c r="AA1" s="46"/>
      <c r="AB1" s="46"/>
      <c r="AC1" s="46"/>
      <c r="AD1" s="46"/>
      <c r="AE1" s="46"/>
      <c r="AF1" s="50"/>
      <c r="AG1" s="51"/>
      <c r="AH1" s="52"/>
      <c r="AI1" s="52"/>
      <c r="AJ1" s="52"/>
      <c r="AK1" s="52"/>
      <c r="AL1" s="52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4" t="s">
        <v>25</v>
      </c>
      <c r="AX1" s="54"/>
      <c r="AY1" s="54"/>
      <c r="AZ1" s="55">
        <f>IF('Master Data'!I35&gt;9,ROUND(AZ3/31*15,0),IF('Master Data'!D18='GA55 Check &amp; Edit'!AW1,ROUND(AZ3/31*15,0),IF('Master Data'!I35&gt;=5,ROUND(AZ3/31*22,0),AZ3)))</f>
        <v>36900</v>
      </c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2"/>
      <c r="CJ1" s="52"/>
      <c r="CK1" s="52"/>
      <c r="CL1" s="52"/>
      <c r="CM1" s="52"/>
      <c r="CN1" s="52"/>
      <c r="CO1" s="52"/>
      <c r="CP1" s="51"/>
      <c r="CQ1" s="51"/>
      <c r="CR1" s="51"/>
      <c r="CS1" s="51"/>
      <c r="CT1" s="51"/>
    </row>
    <row r="2" ht="24.75" customHeight="1">
      <c r="A2" s="45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56"/>
      <c r="U2" s="57"/>
      <c r="V2" s="57"/>
      <c r="W2" s="57"/>
      <c r="X2" s="57"/>
      <c r="Y2" s="58"/>
      <c r="Z2" s="59"/>
      <c r="AA2" s="59"/>
      <c r="AB2" s="59"/>
      <c r="AC2" s="46"/>
      <c r="AD2" s="46"/>
      <c r="AE2" s="46"/>
      <c r="AF2" s="50"/>
      <c r="AG2" s="51"/>
      <c r="AH2" s="52"/>
      <c r="AI2" s="52"/>
      <c r="AJ2" s="52"/>
      <c r="AK2" s="52"/>
      <c r="AL2" s="52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2"/>
      <c r="CJ2" s="52"/>
      <c r="CK2" s="52"/>
      <c r="CL2" s="52"/>
      <c r="CM2" s="52"/>
      <c r="CN2" s="52"/>
      <c r="CO2" s="52"/>
      <c r="CP2" s="51"/>
      <c r="CQ2" s="51"/>
      <c r="CR2" s="51"/>
      <c r="CS2" s="51"/>
      <c r="CT2" s="51"/>
    </row>
    <row r="3" ht="27.75" customHeight="1">
      <c r="A3" s="60"/>
      <c r="B3" s="60"/>
      <c r="C3" s="61"/>
      <c r="D3" s="62" t="s">
        <v>26</v>
      </c>
      <c r="E3" s="63"/>
      <c r="F3" s="64" t="str">
        <f>IF('Master Data'!D6="","",CONCATENATE('Master Data'!D6," ,  ",'Master Data'!H6))</f>
        <v>MANJU Kumari  ,  Teacher </v>
      </c>
      <c r="G3" s="65"/>
      <c r="H3" s="65"/>
      <c r="I3" s="66"/>
      <c r="J3" s="61"/>
      <c r="K3" s="61"/>
      <c r="L3" s="61"/>
      <c r="M3" s="61"/>
      <c r="N3" s="61"/>
      <c r="O3" s="61"/>
      <c r="P3" s="61"/>
      <c r="Q3" s="61"/>
      <c r="R3" s="61"/>
      <c r="S3" s="67" t="s">
        <v>27</v>
      </c>
      <c r="T3" s="68"/>
      <c r="U3" s="68"/>
      <c r="V3" s="68"/>
      <c r="W3" s="68"/>
      <c r="X3" s="68"/>
      <c r="Y3" s="68"/>
      <c r="Z3" s="69"/>
      <c r="AA3" s="61"/>
      <c r="AB3" s="61"/>
      <c r="AC3" s="61"/>
      <c r="AD3" s="61"/>
      <c r="AE3" s="61"/>
      <c r="AF3" s="70"/>
      <c r="AG3" s="71"/>
      <c r="AH3" s="72"/>
      <c r="AI3" s="72"/>
      <c r="AJ3" s="72"/>
      <c r="AK3" s="72"/>
      <c r="AL3" s="72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54"/>
      <c r="AX3" s="54"/>
      <c r="AY3" s="54"/>
      <c r="AZ3" s="55">
        <f>AZ15-ROUNDUP(ROUND((AZ15*3%)-(AZ15*3%)*2.9%,-2),0)</f>
        <v>36900</v>
      </c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2"/>
      <c r="CJ3" s="72"/>
      <c r="CK3" s="72"/>
      <c r="CL3" s="72"/>
      <c r="CM3" s="72"/>
      <c r="CN3" s="72"/>
      <c r="CO3" s="72"/>
      <c r="CP3" s="71"/>
      <c r="CQ3" s="71"/>
      <c r="CR3" s="71"/>
      <c r="CS3" s="71"/>
      <c r="CT3" s="71"/>
    </row>
    <row r="4" ht="21.0" customHeight="1">
      <c r="A4" s="60"/>
      <c r="B4" s="60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70"/>
      <c r="AG4" s="71"/>
      <c r="AH4" s="72"/>
      <c r="AI4" s="72"/>
      <c r="AJ4" s="72"/>
      <c r="AK4" s="72"/>
      <c r="AL4" s="72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2"/>
      <c r="CJ4" s="72"/>
      <c r="CK4" s="72"/>
      <c r="CL4" s="72"/>
      <c r="CM4" s="72"/>
      <c r="CN4" s="72"/>
      <c r="CO4" s="72"/>
      <c r="CP4" s="71"/>
      <c r="CQ4" s="71"/>
      <c r="CR4" s="71"/>
      <c r="CS4" s="71"/>
      <c r="CT4" s="71"/>
    </row>
    <row r="5" ht="18.0" hidden="1" customHeight="1">
      <c r="A5" s="60"/>
      <c r="B5" s="60"/>
      <c r="C5" s="74">
        <v>1.0</v>
      </c>
      <c r="D5" s="74">
        <v>2.0</v>
      </c>
      <c r="E5" s="74">
        <v>3.0</v>
      </c>
      <c r="F5" s="74">
        <v>4.0</v>
      </c>
      <c r="G5" s="74">
        <v>5.0</v>
      </c>
      <c r="H5" s="74">
        <v>6.0</v>
      </c>
      <c r="I5" s="74">
        <v>7.0</v>
      </c>
      <c r="J5" s="74">
        <v>8.0</v>
      </c>
      <c r="K5" s="74">
        <v>9.0</v>
      </c>
      <c r="L5" s="74">
        <v>10.0</v>
      </c>
      <c r="M5" s="74">
        <v>11.0</v>
      </c>
      <c r="N5" s="74">
        <v>12.0</v>
      </c>
      <c r="O5" s="74">
        <v>13.0</v>
      </c>
      <c r="P5" s="74">
        <v>14.0</v>
      </c>
      <c r="Q5" s="74">
        <v>15.0</v>
      </c>
      <c r="R5" s="74">
        <v>16.0</v>
      </c>
      <c r="S5" s="74">
        <v>17.0</v>
      </c>
      <c r="T5" s="74">
        <v>18.0</v>
      </c>
      <c r="U5" s="74">
        <v>19.0</v>
      </c>
      <c r="V5" s="74">
        <v>20.0</v>
      </c>
      <c r="W5" s="74">
        <v>21.0</v>
      </c>
      <c r="X5" s="74">
        <v>22.0</v>
      </c>
      <c r="Y5" s="74">
        <v>23.0</v>
      </c>
      <c r="Z5" s="74">
        <v>24.0</v>
      </c>
      <c r="AA5" s="74">
        <v>25.0</v>
      </c>
      <c r="AB5" s="74">
        <v>26.0</v>
      </c>
      <c r="AC5" s="74">
        <v>27.0</v>
      </c>
      <c r="AD5" s="74">
        <v>28.0</v>
      </c>
      <c r="AE5" s="74">
        <v>29.0</v>
      </c>
      <c r="AF5" s="70"/>
      <c r="AG5" s="71"/>
      <c r="AH5" s="72"/>
      <c r="AI5" s="72"/>
      <c r="AJ5" s="72"/>
      <c r="AK5" s="72"/>
      <c r="AL5" s="72"/>
      <c r="AM5" s="75">
        <f>'Master Data'!N27</f>
        <v>46054</v>
      </c>
      <c r="AN5" s="76" t="s">
        <v>28</v>
      </c>
      <c r="AO5" s="76" t="s">
        <v>29</v>
      </c>
      <c r="AP5" s="77" t="s">
        <v>30</v>
      </c>
      <c r="AQ5" s="73" t="s">
        <v>31</v>
      </c>
      <c r="AR5" s="73"/>
      <c r="AS5" s="73">
        <v>1000.0</v>
      </c>
      <c r="AT5" s="73"/>
      <c r="AU5" s="73"/>
      <c r="AV5" s="73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2"/>
      <c r="CJ5" s="72"/>
      <c r="CK5" s="72"/>
      <c r="CL5" s="72"/>
      <c r="CM5" s="72"/>
      <c r="CN5" s="72"/>
      <c r="CO5" s="72"/>
      <c r="CP5" s="71"/>
      <c r="CQ5" s="71"/>
      <c r="CR5" s="71"/>
      <c r="CS5" s="71"/>
      <c r="CT5" s="71"/>
    </row>
    <row r="6" ht="36.75" customHeight="1">
      <c r="A6" s="79"/>
      <c r="B6" s="79"/>
      <c r="C6" s="80" t="s">
        <v>32</v>
      </c>
      <c r="D6" s="81" t="s">
        <v>33</v>
      </c>
      <c r="E6" s="81" t="s">
        <v>34</v>
      </c>
      <c r="F6" s="81" t="s">
        <v>35</v>
      </c>
      <c r="G6" s="81" t="s">
        <v>36</v>
      </c>
      <c r="H6" s="81" t="str">
        <f>IF('Master Data'!B43="","",'Master Data'!B43)</f>
        <v>Wash All.</v>
      </c>
      <c r="I6" s="81" t="s">
        <v>37</v>
      </c>
      <c r="J6" s="81" t="s">
        <v>38</v>
      </c>
      <c r="K6" s="81" t="str">
        <f>IF('Master Data'!C43="","",'Master Data'!C43)</f>
        <v>ROP</v>
      </c>
      <c r="L6" s="81" t="str">
        <f>IF('Master Data'!D43="","",'Master Data'!D43)</f>
        <v>other-1</v>
      </c>
      <c r="M6" s="81" t="str">
        <f>IF('Master Data'!E43="","",'Master Data'!E43)</f>
        <v>other-2</v>
      </c>
      <c r="N6" s="81" t="s">
        <v>39</v>
      </c>
      <c r="O6" s="81" t="s">
        <v>40</v>
      </c>
      <c r="P6" s="81" t="str">
        <f>IF('Master Data'!G43="","",'Master Data'!G43)</f>
        <v/>
      </c>
      <c r="Q6" s="81" t="str">
        <f>IF('Master Data'!I31='GA55 Check &amp; Edit'!AN5,'GA55 Check &amp; Edit'!AN5,'GA55 Check &amp; Edit'!AN6)</f>
        <v>GPF-2004</v>
      </c>
      <c r="R6" s="81" t="str">
        <f>IF('Master Data'!I43="","",'Master Data'!I43)</f>
        <v/>
      </c>
      <c r="S6" s="81" t="str">
        <f>IF('Master Data'!J43="","",'Master Data'!J43)</f>
        <v> RGHS</v>
      </c>
      <c r="T6" s="81" t="str">
        <f>IF('Master Data'!K43="","",'Master Data'!K43)</f>
        <v>SI Loan</v>
      </c>
      <c r="U6" s="81" t="str">
        <f>IF('Master Data'!L43="","",'Master Data'!L43)</f>
        <v>GPF Loan</v>
      </c>
      <c r="V6" s="81" t="str">
        <f>IF('Master Data'!M43="","",'Master Data'!M43)</f>
        <v>SI Int.</v>
      </c>
      <c r="W6" s="81" t="str">
        <f>IF('Master Data'!N43="","",'Master Data'!N43)</f>
        <v>Other</v>
      </c>
      <c r="X6" s="82" t="s">
        <v>41</v>
      </c>
      <c r="Y6" s="83" t="s">
        <v>42</v>
      </c>
      <c r="Z6" s="84" t="s">
        <v>43</v>
      </c>
      <c r="AA6" s="81" t="s">
        <v>44</v>
      </c>
      <c r="AB6" s="81" t="s">
        <v>45</v>
      </c>
      <c r="AC6" s="81" t="s">
        <v>46</v>
      </c>
      <c r="AD6" s="81" t="s">
        <v>47</v>
      </c>
      <c r="AE6" s="85" t="s">
        <v>48</v>
      </c>
      <c r="AF6" s="86"/>
      <c r="AG6" s="87"/>
      <c r="AH6" s="88"/>
      <c r="AI6" s="88"/>
      <c r="AJ6" s="88"/>
      <c r="AK6" s="88"/>
      <c r="AL6" s="88"/>
      <c r="AM6" s="76"/>
      <c r="AN6" s="76" t="s">
        <v>49</v>
      </c>
      <c r="AO6" s="76" t="s">
        <v>50</v>
      </c>
      <c r="AP6" s="76" t="s">
        <v>51</v>
      </c>
      <c r="AQ6" s="76" t="s">
        <v>52</v>
      </c>
      <c r="AR6" s="76"/>
      <c r="AS6" s="76">
        <v>620.0</v>
      </c>
      <c r="AT6" s="89"/>
      <c r="AU6" s="76"/>
      <c r="AV6" s="76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>
        <f>IFERROR(IF(AND('Master Data'!$I$31='GA55 Check &amp; Edit'!$AN$6),ROUND((E8)*0.1,0),IF(AND('Master Data'!$I$29='GA55 Check &amp; Edit'!$AP$6),ROUND((E8+F8)*0.1,0),'Master Data'!$H$44)),"")</f>
        <v>4790</v>
      </c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88"/>
      <c r="CJ6" s="88"/>
      <c r="CK6" s="88"/>
      <c r="CL6" s="88"/>
      <c r="CM6" s="88"/>
      <c r="CN6" s="88"/>
      <c r="CO6" s="88"/>
      <c r="CP6" s="87"/>
      <c r="CQ6" s="87"/>
      <c r="CR6" s="87"/>
      <c r="CS6" s="87"/>
      <c r="CT6" s="87"/>
    </row>
    <row r="7" ht="30.0" customHeight="1">
      <c r="A7" s="79"/>
      <c r="B7" s="79"/>
      <c r="C7" s="90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2"/>
      <c r="Y7" s="93"/>
      <c r="Z7" s="94"/>
      <c r="AA7" s="91"/>
      <c r="AB7" s="91"/>
      <c r="AC7" s="91"/>
      <c r="AD7" s="91"/>
      <c r="AE7" s="95"/>
      <c r="AF7" s="86"/>
      <c r="AG7" s="87"/>
      <c r="AH7" s="88"/>
      <c r="AI7" s="88"/>
      <c r="AJ7" s="88"/>
      <c r="AK7" s="88"/>
      <c r="AL7" s="88"/>
      <c r="AM7" s="76"/>
      <c r="AN7" s="76"/>
      <c r="AO7" s="76"/>
      <c r="AP7" s="76"/>
      <c r="AQ7" s="76" t="s">
        <v>53</v>
      </c>
      <c r="AR7" s="76"/>
      <c r="AS7" s="76"/>
      <c r="AT7" s="89"/>
      <c r="AU7" s="76"/>
      <c r="AV7" s="76"/>
      <c r="AW7" s="54"/>
      <c r="AX7" s="54"/>
      <c r="AY7" s="54"/>
      <c r="AZ7" s="54"/>
      <c r="BA7" s="54"/>
      <c r="BB7" s="54"/>
      <c r="BC7" s="54"/>
      <c r="BD7" s="54">
        <f>IF(D6="State Service",ROUND(B10*15/31,0),IF(AND(D6="Subordinate",OR(B6=G5,B6=G6,B6=G7,B6=G8,B6=G9)),ROUND(B10*22/31,0),IF(AND(D6="Subordinate",OR(B6=G10,B6=G11,B6=G12,B6=G13,B6=G14,B6=G15)),ROUND(B10*15/31,0),IF(D6="Ministerial",ROUND(B10*22/31,0),B10))))</f>
        <v>3</v>
      </c>
      <c r="BE7" s="54"/>
      <c r="BF7" s="54"/>
      <c r="BG7" s="54"/>
      <c r="BH7" s="54"/>
      <c r="BI7" s="55">
        <f>IF(OR('Master Data'!$I$29='GA55 Check &amp; Edit'!$AP$6),"",IF('Master Data'!$I$31="GPF-2004",IF(D10&lt;23101,1450,IF(D10&lt;28501,1625,IF(D10&lt;38501,2100,IF(D10&lt;51501,2850,IF(D10&lt;62001,3575,IF(D10&lt;72001,4200,IF(D10&lt;80001,4800,IF(D10&lt;116001,6150,IF(D10&lt;167001,8900,10500)))))))))*2,'Master Data'!$H$44))</f>
        <v>5700</v>
      </c>
      <c r="BJ7" s="54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88"/>
      <c r="CJ7" s="88"/>
      <c r="CK7" s="88"/>
      <c r="CL7" s="88"/>
      <c r="CM7" s="88"/>
      <c r="CN7" s="88"/>
      <c r="CO7" s="88"/>
      <c r="CP7" s="87"/>
      <c r="CQ7" s="87"/>
      <c r="CR7" s="87"/>
      <c r="CS7" s="87"/>
      <c r="CT7" s="87"/>
    </row>
    <row r="8" ht="21.0" customHeight="1">
      <c r="A8" s="1">
        <f t="shared" ref="A8:A28" si="1">MOD(B8,2)</f>
        <v>1</v>
      </c>
      <c r="B8" s="96">
        <f>IF(LEN(D8)&gt;=3,1,0)</f>
        <v>1</v>
      </c>
      <c r="C8" s="97">
        <f t="shared" ref="C8:C28" si="2">IF(B8=0,"",B8)</f>
        <v>1</v>
      </c>
      <c r="D8" s="98">
        <f t="shared" ref="D8:D28" si="3">IFERROR(IF(BO12="","",BO12),"")</f>
        <v>45717</v>
      </c>
      <c r="E8" s="99">
        <v>47900.0</v>
      </c>
      <c r="F8" s="100">
        <f>IFERROR(IF(D8="","",IF(D8=$AX$24,"",IF(AND(D8=$AX$28),"",IF(AND('Master Data'!$I$29='GA55 Check &amp; Edit'!$AP$5),VLOOKUP(D8,ram,7,0),"")))),"")</f>
        <v>20140</v>
      </c>
      <c r="G8" s="100">
        <f>IFERROR(IF(D8="","",IF(D8=$AX$24,"",IF(AND(D8=$AX$25),"",IF(AND(D8=$AX$26),"",IF(AND(D8=$AX$27),"",IF(AND(D8=$AX$28),"",IF(AND(D8=$AX$29),"",IF(AND('Master Data'!$I$29='GA55 Check &amp; Edit'!$AP$6),"",VLOOKUP(D8,ram,8,0))))))))),"")</f>
        <v>3800</v>
      </c>
      <c r="H8" s="100" t="str">
        <f>IFERROR(IF(D8="","",IF(AND(E8=""),"",IF(OR(D8=$AX$24,D8=$AX$25,D8=$AX$26,D8=$AX$27,D8=$AX$28,D8=$AX$29),"",IF(AND('Master Data'!$I$29='GA55 Check &amp; Edit'!$AP$5),'Master Data'!$B$44,"")))),"")</f>
        <v/>
      </c>
      <c r="I8" s="100" t="str">
        <f>IFERROR(IF(D8="","",IF(AND(E8=""),"",IF(OR(D8=$AX$24,D8=$AX$25,D8=$AX$26,D8=$AX$27,D8=$AX$28,D8=$AX$29),"",IF(AND('Master Data'!$I$29='GA55 Check &amp; Edit'!$AP$5,'Master Data'!$E$29='GA55 Check &amp; Edit'!$AO$5),'Master Data'!$E$31,"0")))),"")</f>
        <v>0</v>
      </c>
      <c r="J8" s="100" t="str">
        <f>IFERROR(IF(OR('Master Data'!$E$33=$AO$6,'Master Data'!$E$33=""),"",IF(D8="","",IF(AND(E8=""),"",IF(OR(D8=$AX$24,D8=$AX$25,D8=$AX$26,D8=$AX$27,D8=$AX$28,D8=$AX$29),"",IF(AND('Master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8" s="100" t="str">
        <f>IFERROR(IF(D8="","",IF(AND(E8=""),"",IF(OR(D8=$AX$24,D8=$AX$25,D8=$AX$26,D8=$AX$27,D8=$AX$28,D8=$AX$29),"",IF(AND('Master Data'!$I$29='GA55 Check &amp; Edit'!$AP$5),'Master Data'!$C$44,"")))),"")</f>
        <v/>
      </c>
      <c r="L8" s="100" t="str">
        <f>IFERROR(IF(D8="","",IF(AND(E8=""),"",IF(OR(D8=$AX$24,D8=$AX$25,D8=$AX$26,D8=$AX$27,D8=$AX$28,D8=$AX$29),"",IF(AND('Master Data'!$I$29='GA55 Check &amp; Edit'!$AP$6),"",'Master Data'!$D$44)))),"")</f>
        <v/>
      </c>
      <c r="M8" s="100" t="str">
        <f>IFERROR(IF(D8="","",IF(AND(E8=""),"",IF(OR(D8=$AX$24,D8=$AX$25,D8=$AX$26,D8=$AX$27,D8=$AX$28,D8=$AX$29),"",IF(AND('Master Data'!$I$29='GA55 Check &amp; Edit'!$AP$6),"",'Master Data'!$E$44)))),"")</f>
        <v/>
      </c>
      <c r="N8" s="100" t="str">
        <f>IFERROR(IF(D8="","",IF(AND('Master Data'!$I$29='GA55 Check &amp; Edit'!$AP$6),"",IF(AND('Master Data'!$I$25='GA55 Check &amp; Edit'!$AO$6),"0",IF(AND(D8="Bonus"),VLOOKUP(D8,ram,4,0),"")))),"")</f>
        <v>0</v>
      </c>
      <c r="O8" s="101">
        <f>IF(D8="","",IF('Master Data'!$N$25="","",SUM(E8:N8)))</f>
        <v>71840</v>
      </c>
      <c r="P8" s="102" t="str">
        <f>IFERROR(IF(OR('Master Data'!$I$29='GA55 Check &amp; Edit'!$AP$6,D8=""),"",IF(AND(D8=$AX$24),"",IF(AND(D8=$AX$25),"",IF(AND(D8=$AX$26),"",IF(AND(D8=$AX$27),"",IF(AND(D8=$AX$28),"",IF(AND(D8=$AX$29),"",IF(AND(E8=""),"",VLOOKUP(D8,ram,11,0))))))))),"")</f>
        <v/>
      </c>
      <c r="Q8" s="102">
        <f>IFERROR(IF(AND('Master Data'!$I$29='GA55 Check &amp; Edit'!$AP$6),"",IF(AND(D8=$AX$25),"",IF(AND(D8=$AX$28),"",IF(AND(D8=$AX$29),"",IF(AND(D8=""),"",IF(AND(BB12=""),"",VLOOKUP(D8,ram,12,0))))))),"")</f>
        <v>2100</v>
      </c>
      <c r="R8" s="102" t="str">
        <f>IFERROR(IF(OR('Master Data'!$I$29='GA55 Check &amp; Edit'!$AP$6,D8=""),"",IF(AND(D8=$AX$24),"",IF(AND(D8=$AX$25),"",IF(AND(D8=$AX$26),"",IF(AND(D8=$AX$27),"",IF(AND(D8=$AX$28),"",IF(AND(D8=$AX$29),"",IF(AND(E8=""),"",'Master Data'!$I$44)))))))),"")</f>
        <v/>
      </c>
      <c r="S8" s="102">
        <f>IFERROR(IF(OR('Master Data'!$I$29='GA55 Check &amp; Edit'!$AP$6),"",IF(D8="","",IF(E8="","",IF(AND(D8=$AX$24),"",IF(AND(D8=$AX$25),"",IF(AND(D8=$AX$26),"",IF(AND(D8=$AX$27),"",IF(AND(D8=$AX$28),"",IF(AND(D8=$AX$29),"",VLOOKUP(D8,ram,10,0)))))))))),"")</f>
        <v>658</v>
      </c>
      <c r="T8" s="102">
        <f>IFERROR(IF(OR('Master Data'!$I$29='GA55 Check &amp; Edit'!$AP$6,D8=""),"",IF(AND(D8=$AX$24),"",IF(AND(D8=$AX$25),"",IF(AND(D8=$AX$26),"",IF(AND(D8=$AX$27),"",IF(AND(D8=$AX$28),"",IF(AND(D8=$AX$29),"",IF(AND(E8=""),"",'Master Data'!$K$44)))))))),"")</f>
        <v>3000</v>
      </c>
      <c r="V8" s="102" t="str">
        <f>IFERROR(IF(OR('Master Data'!$I$29='GA55 Check &amp; Edit'!$AP$6,D8=""),"",IF(AND(D8=$AX$24),"",IF(AND(D8=$AX$25),"",IF(AND(D8=$AX$26),"",IF(AND(D8=$AX$27),"",IF(AND(D8=$AX$28),"",IF(AND(D8=$AX$29),"",IF(AND(E8=""),"",'Master Data'!$M$44)))))))),"")</f>
        <v/>
      </c>
      <c r="W8" s="102" t="str">
        <f>IFERROR(IF(OR('Master Data'!$I$29='GA55 Check &amp; Edit'!$AP$6,D8=""),"",IF(AND(D8=$AX$24),"",IF(AND(D8=$AX$25),"",IF(AND(D8=$AX$26),"",IF(AND(D8=$AX$27),"",IF(AND(D8=$AX$28),"",IF(AND(D8=$AX$29),"",IF(AND(E8=""),"",'Master Data'!$N$44)))))))),"")</f>
        <v/>
      </c>
      <c r="X8" s="102" t="str">
        <f>IFERROR(IF(OR('Master Data'!$I$29='GA55 Check &amp; Edit'!$AP$6,D8=""),"",IF(AND(E8=""),"",IF(AND('GA55 Check &amp; Edit'!D8='GA55 Check &amp; Edit'!$AT$17,'Master Data'!$D$18="Gazetted"),500,IF(AND('GA55 Check &amp; Edit'!D8='GA55 Check &amp; Edit'!$AT$17,'Master Data'!$D$18="Non-Gazetted"),250,"")))),"")</f>
        <v/>
      </c>
      <c r="Y8" s="102" t="str">
        <f>IFERROR(IF(D8="","",IF(AND(E8=""),"",IF(AND(D8=$AX$24),"",IF(AND(D8=$AX$25),"",IF(AND(D8=$AX$26),"",IF(AND(D8=$AX$27),"",IF(AND(D8=$AX$28),"",IF(AND(D8=$AX$29),"",IF(OR('Master Data'!$I$29='GA55 Check &amp; Edit'!$AP$6,D8=""),"",$Y$7))))))))),"")</f>
        <v/>
      </c>
      <c r="Z8" s="103" t="str">
        <f>IFERROR(IF(OR('Master Data'!$I$29='GA55 Check &amp; Edit'!$AP$6),"",IF(D8="","",IF(E8="","",VLOOKUP(D8,ram,9,0)))),"")</f>
        <v/>
      </c>
      <c r="AA8" s="102" t="str">
        <f>IFERROR(IF(OR('Master Data'!$I$29='GA55 Check &amp; Edit'!$AP$6,D8="",'Master Data'!$N$35=""),"",IF(AND(E8=""),"",IF('GA55 Check &amp; Edit'!D8='GA55 Check &amp; Edit'!$AT$9,'Master Data'!$N$35,""))),"")</f>
        <v/>
      </c>
      <c r="AB8" s="104">
        <f t="shared" ref="AB8:AB28" si="4">IFERROR(IF(D8="","",IF(AND(O8=""),"",SUM(P8:AA8))),"0")</f>
        <v>5758</v>
      </c>
      <c r="AC8" s="105">
        <f t="shared" ref="AC8:AC28" si="5">IFERROR(IF(AND(E8="",O8="",AB8=""),"",SUM(O8-AB8)),"")</f>
        <v>66082</v>
      </c>
      <c r="AD8" s="106"/>
      <c r="AE8" s="107"/>
      <c r="AF8" s="1"/>
      <c r="AG8" s="108"/>
      <c r="AH8" s="109"/>
      <c r="AI8" s="109"/>
      <c r="AJ8" s="109"/>
      <c r="AK8" s="109"/>
      <c r="AL8" s="109"/>
      <c r="AM8" s="54"/>
      <c r="AN8" s="54"/>
      <c r="AO8" s="54"/>
      <c r="AP8" s="54"/>
      <c r="AQ8" s="54"/>
      <c r="AR8" s="54" t="s">
        <v>54</v>
      </c>
      <c r="AS8" s="54" t="s">
        <v>55</v>
      </c>
      <c r="AT8" s="89">
        <v>45717.0</v>
      </c>
      <c r="AU8" s="54" t="s">
        <v>56</v>
      </c>
      <c r="AV8" s="54"/>
      <c r="AW8" s="54"/>
      <c r="AX8" s="89">
        <v>45717.0</v>
      </c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109"/>
      <c r="CJ8" s="109"/>
      <c r="CK8" s="109"/>
      <c r="CL8" s="109"/>
      <c r="CM8" s="109"/>
      <c r="CN8" s="109"/>
      <c r="CO8" s="109"/>
      <c r="CP8" s="108"/>
      <c r="CQ8" s="108"/>
      <c r="CR8" s="108"/>
      <c r="CS8" s="108"/>
      <c r="CT8" s="108"/>
    </row>
    <row r="9" ht="21.0" customHeight="1">
      <c r="A9" s="1">
        <f t="shared" si="1"/>
        <v>0</v>
      </c>
      <c r="B9" s="96">
        <f t="shared" ref="B9:B28" si="6">IF(LEN(D9)&gt;=3,B8+1,0)</f>
        <v>2</v>
      </c>
      <c r="C9" s="110">
        <f t="shared" si="2"/>
        <v>2</v>
      </c>
      <c r="D9" s="111">
        <f t="shared" si="3"/>
        <v>45748</v>
      </c>
      <c r="E9" s="112" t="str">
        <f>IFERROR(IF(D9="","",IF(AND(BQ13=""),"",IF(AND('Master Data'!$I$28='GA55 Check &amp; Edit'!$AP$6),VLOOKUP(D9,ram,13,0),VLOOKUP(D9,ram,4,0)))),"")47900</f>
        <v>#ERROR!</v>
      </c>
      <c r="F9" s="113">
        <f>IFERROR(IF(D9="","",IF(D9=$AX$24,"",IF(AND(D9=$AX$28),"",IF(AND('Master Data'!$I$29='GA55 Check &amp; Edit'!$AP$5),VLOOKUP(D9,ram,7,0),"")))),"")</f>
        <v>20900</v>
      </c>
      <c r="G9" s="113">
        <f>IFERROR(IF(D9="","",IF(D9=$AX$24,"",IF(AND(D9=$AX$25),"",IF(AND(D9=$AX$26),"",IF(AND(D9=$AX$27),"",IF(AND(D9=$AX$28),"",IF(AND(D9=$AX$29),"",IF(AND('Master Data'!$I$29='GA55 Check &amp; Edit'!$AP$6),"",VLOOKUP(D9,ram,8,0))))))))),"")</f>
        <v>3800</v>
      </c>
      <c r="H9" s="113" t="str">
        <f>IFERROR(IF(D9="","",IF(AND(E9=""),"",IF(OR(D9=$AX$24,D9=$AX$25,D9=$AX$26,D9=$AX$27,D9=$AX$28,D9=$AX$29),"",IF(AND('Master Data'!$I$29='GA55 Check &amp; Edit'!$AP$5),'Master Data'!$B$44,"")))),"")</f>
        <v/>
      </c>
      <c r="I9" s="113" t="str">
        <f>IFERROR(IF(D9="","",IF(AND(E9=""),"",IF(OR(D9=$AX$24,D9=$AX$25,D9=$AX$26,D9=$AX$27,D9=$AX$28,D9=$AX$29),"",IF(AND('Master Data'!$I$29='GA55 Check &amp; Edit'!$AP$5,'Master Data'!$E$29='GA55 Check &amp; Edit'!$AO$5),'Master Data'!$E$31,"0")))),"")</f>
        <v/>
      </c>
      <c r="J9" s="113" t="str">
        <f>IFERROR(IF(OR('Master Data'!$E$33=$AO$6,'Master Data'!$E$33=""),"",IF(D9="","",IF(AND(E9=""),"",IF(OR(D9=$AX$24,D9=$AX$25,D9=$AX$26,D9=$AX$27,D9=$AX$28,D9=$AX$29),"",IF(AND('Master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9" s="113" t="str">
        <f>IFERROR(IF(D9="","",IF(AND(E9=""),"",IF(OR(D9=$AX$24,D9=$AX$25,D9=$AX$26,D9=$AX$27,D9=$AX$28,D9=$AX$29),"",IF(AND('Master Data'!$I$29='GA55 Check &amp; Edit'!$AP$5),'Master Data'!$C$44,"")))),"")</f>
        <v/>
      </c>
      <c r="L9" s="113" t="str">
        <f>IFERROR(IF(D9="","",IF(AND(E9=""),"",IF(OR(D9=$AX$24,D9=$AX$25,D9=$AX$26,D9=$AX$27,D9=$AX$28,D9=$AX$29),"",IF(AND('Master Data'!$I$29='GA55 Check &amp; Edit'!$AP$6),"",'Master Data'!$D$44)))),"")</f>
        <v/>
      </c>
      <c r="M9" s="113" t="str">
        <f>IFERROR(IF(D9="","",IF(AND(E9=""),"",IF(OR(D9=$AX$24,D9=$AX$25,D9=$AX$26,D9=$AX$27,D9=$AX$28,D9=$AX$29),"",IF(AND('Master Data'!$I$29='GA55 Check &amp; Edit'!$AP$6),"",'Master Data'!$E$44)))),"")</f>
        <v/>
      </c>
      <c r="N9" s="113" t="str">
        <f>IFERROR(IF(D9="","",IF(AND('Master Data'!$I$29='GA55 Check &amp; Edit'!$AP$6),"",IF(AND('Master Data'!$I$25='GA55 Check &amp; Edit'!$AO$6),"0",IF(AND(D9="Bonus"),VLOOKUP(D9,ram,4,0),"")))),"")</f>
        <v>0</v>
      </c>
      <c r="O9" s="114" t="str">
        <f>IF(D9="","",IF('Master Data'!$N$25="","",SUM(E9:N9)))</f>
        <v>#ERROR!</v>
      </c>
      <c r="P9" s="103" t="str">
        <f>IFERROR(IF(OR('Master Data'!$I$29='GA55 Check &amp; Edit'!$AP$6,D9=""),"",IF(AND(D9=$AX$24),"",IF(AND(D9=$AX$25),"",IF(AND(D9=$AX$26),"",IF(AND(D9=$AX$27),"",IF(AND(D9=$AX$28),"",IF(AND(D9=$AX$29),"",IF(AND(E9=""),"",VLOOKUP(D9,ram,11,0))))))))),"")</f>
        <v/>
      </c>
      <c r="Q9" s="102">
        <f>IFERROR(IF(AND('Master Data'!$I$29='GA55 Check &amp; Edit'!$AP$6),"",IF(AND(D9=$AX$25),"",IF(AND(D9=$AX$28),"",IF(AND(D9=$AX$29),"",IF(AND(D9=""),"",IF(AND(BB13=""),"",VLOOKUP(D9,ram,12,0))))))),"")</f>
        <v>2100</v>
      </c>
      <c r="R9" s="103" t="str">
        <f>IFERROR(IF(OR('Master Data'!$I$29='GA55 Check &amp; Edit'!$AP$6,D9=""),"",IF(AND(D9=$AX$24),"",IF(AND(D9=$AX$25),"",IF(AND(D9=$AX$26),"",IF(AND(D9=$AX$27),"",IF(AND(D9=$AX$28),"",IF(AND(D9=$AX$29),"",IF(AND(E9=""),"",'Master Data'!$I$44)))))))),"")</f>
        <v/>
      </c>
      <c r="S9" s="103" t="str">
        <f>IFERROR(IF(OR('Master Data'!$I$29='GA55 Check &amp; Edit'!$AP$6),"",IF(D9="","",IF(E9="","",IF(AND(D9=$AX$24),"",IF(AND(D9=$AX$25),"",IF(AND(D9=$AX$26),"",IF(AND(D9=$AX$27),"",IF(AND(D9=$AX$28),"",IF(AND(D9=$AX$29),"",VLOOKUP(D9,ram,10,0)))))))))),"")</f>
        <v/>
      </c>
      <c r="T9" s="103" t="str">
        <f>IFERROR(IF(OR('Master Data'!$I$29='GA55 Check &amp; Edit'!$AP$6,D9=""),"",IF(AND(D9=$AX$24),"",IF(AND(D9=$AX$25),"",IF(AND(D9=$AX$26),"",IF(AND(D9=$AX$27),"",IF(AND(D9=$AX$28),"",IF(AND(D9=$AX$29),"",IF(AND(E9=""),"",'Master Data'!$K$44)))))))),"")</f>
        <v/>
      </c>
      <c r="U9" s="103" t="str">
        <f>IFERROR(IF(OR('Master Data'!$I$29='GA55 Check &amp; Edit'!$AP$6,D9=""),"",IF(AND(D9=$AX$24),"",IF(AND(D9=$AX$25),"",IF(AND(D9=$AX$26),"",IF(AND(D9=$AX$27),"",IF(AND(D9=$AX$28),"",IF(AND(D9=$AX$29),"",IF(AND(E9=""),"",'Master Data'!$L$44)))))))),"")</f>
        <v/>
      </c>
      <c r="V9" s="103" t="str">
        <f>IFERROR(IF(OR('Master Data'!$I$29='GA55 Check &amp; Edit'!$AP$6,D9=""),"",IF(AND(D9=$AX$24),"",IF(AND(D9=$AX$25),"",IF(AND(D9=$AX$26),"",IF(AND(D9=$AX$27),"",IF(AND(D9=$AX$28),"",IF(AND(D9=$AX$29),"",IF(AND(E9=""),"",'Master Data'!$M$44)))))))),"")</f>
        <v/>
      </c>
      <c r="W9" s="103" t="str">
        <f>IFERROR(IF(OR('Master Data'!$I$29='GA55 Check &amp; Edit'!$AP$6,D9=""),"",IF(AND(D9=$AX$24),"",IF(AND(D9=$AX$25),"",IF(AND(D9=$AX$26),"",IF(AND(D9=$AX$27),"",IF(AND(D9=$AX$28),"",IF(AND(D9=$AX$29),"",IF(AND(E9=""),"",'Master Data'!$N$44)))))))),"")</f>
        <v/>
      </c>
      <c r="X9" s="103" t="str">
        <f>IFERROR(IF(OR('Master Data'!$I$29='GA55 Check &amp; Edit'!$AP$6,D9=""),"",IF(AND(E9=""),"",IF(AND('GA55 Check &amp; Edit'!D9='GA55 Check &amp; Edit'!$AT$17,'Master Data'!$D$18="Gazetted"),500,IF(AND('GA55 Check &amp; Edit'!D9='GA55 Check &amp; Edit'!$AT$17,'Master Data'!$D$18="Non-Gazetted"),250,"")))),"")</f>
        <v/>
      </c>
      <c r="Y9" s="103" t="str">
        <f>IFERROR(IF(D9="","",IF(AND(E9=""),"",IF(AND(D9=$AX$24),"",IF(AND(D9=$AX$25),"",IF(AND(D9=$AX$26),"",IF(AND(D9=$AX$27),"",IF(AND(D9=$AX$28),"",IF(AND(D9=$AX$29),"",IF(OR('Master Data'!$I$29='GA55 Check &amp; Edit'!$AP$6,D9=""),"",$Y$7))))))))),"")</f>
        <v/>
      </c>
      <c r="Z9" s="103" t="str">
        <f>IFERROR(IF(OR('Master Data'!$I$29='GA55 Check &amp; Edit'!$AP$6),"",IF(D9="","",IF(E9="","",VLOOKUP(D9,ram,9,0)))),"")</f>
        <v/>
      </c>
      <c r="AA9" s="103" t="str">
        <f>IFERROR(IF(OR('Master Data'!$I$29='GA55 Check &amp; Edit'!$AP$6,D9="",'Master Data'!$N$35=""),"",IF(AND(E9=""),"",IF('GA55 Check &amp; Edit'!D9='GA55 Check &amp; Edit'!$AT$9,'Master Data'!$N$35,""))),"")</f>
        <v/>
      </c>
      <c r="AB9" s="115" t="str">
        <f t="shared" si="4"/>
        <v>0</v>
      </c>
      <c r="AC9" s="116" t="str">
        <f t="shared" si="5"/>
        <v/>
      </c>
      <c r="AD9" s="117"/>
      <c r="AE9" s="118"/>
      <c r="AF9" s="1"/>
      <c r="AG9" s="108"/>
      <c r="AH9" s="109"/>
      <c r="AI9" s="109"/>
      <c r="AJ9" s="109"/>
      <c r="AK9" s="109"/>
      <c r="AL9" s="109"/>
      <c r="AM9" s="54"/>
      <c r="AN9" s="54"/>
      <c r="AO9" s="54"/>
      <c r="AP9" s="54"/>
      <c r="AQ9" s="54"/>
      <c r="AR9" s="54" t="s">
        <v>57</v>
      </c>
      <c r="AS9" s="54" t="s">
        <v>58</v>
      </c>
      <c r="AT9" s="89">
        <v>45748.0</v>
      </c>
      <c r="AU9" s="54" t="s">
        <v>59</v>
      </c>
      <c r="AV9" s="54"/>
      <c r="AW9" s="119"/>
      <c r="AX9" s="120"/>
      <c r="AY9" s="120"/>
      <c r="AZ9" s="121">
        <v>46081.0</v>
      </c>
      <c r="BA9" s="120"/>
      <c r="BB9" s="120"/>
      <c r="BC9" s="122" t="str">
        <f>IF('Master Data'!I35&gt;9,ROUND('Master Data'!$E$37/31*15,0),IF('Master Data'!E35='GA55 Check &amp; Edit'!AO5,ROUND('Master Data'!$E$37/31*15,0),IF('Master Data'!I35&gt;=5,ROUND('Master Data'!$E$37/31*22,0),IF('Master Data'!D18='GA55 Check &amp; Edit'!AO5,ROUND('Master Data'!$E$37/31*22,0),'Master Data'!E37))))</f>
        <v/>
      </c>
      <c r="BD9" s="120"/>
      <c r="BE9" s="120"/>
      <c r="BF9" s="120"/>
      <c r="BG9" s="120"/>
      <c r="BH9" s="120"/>
      <c r="BI9" s="123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109"/>
      <c r="CJ9" s="109"/>
      <c r="CK9" s="109"/>
      <c r="CL9" s="109"/>
      <c r="CM9" s="109"/>
      <c r="CN9" s="109"/>
      <c r="CO9" s="109"/>
      <c r="CP9" s="108"/>
      <c r="CQ9" s="108"/>
      <c r="CR9" s="108"/>
      <c r="CS9" s="108"/>
      <c r="CT9" s="108"/>
    </row>
    <row r="10" ht="21.0" customHeight="1">
      <c r="A10" s="1">
        <f t="shared" si="1"/>
        <v>1</v>
      </c>
      <c r="B10" s="96">
        <f t="shared" si="6"/>
        <v>3</v>
      </c>
      <c r="C10" s="110">
        <f t="shared" si="2"/>
        <v>3</v>
      </c>
      <c r="D10" s="111">
        <f t="shared" si="3"/>
        <v>45778</v>
      </c>
      <c r="E10" s="124">
        <v>47900.0</v>
      </c>
      <c r="F10" s="113">
        <f>IFERROR(IF(D10="","",IF(D10=$AX$24,"",IF(AND(D10=$AX$28),"",IF(AND('Master Data'!$I$29='GA55 Check &amp; Edit'!$AP$5),VLOOKUP(D10,ram,7,0),"")))),"")</f>
        <v>20900</v>
      </c>
      <c r="G10" s="113">
        <f>IFERROR(IF(D10="","",IF(D10=$AX$24,"",IF(AND(D10=$AX$25),"",IF(AND(D10=$AX$26),"",IF(AND(D10=$AX$27),"",IF(AND(D10=$AX$28),"",IF(AND(D10=$AX$29),"",IF(AND('Master Data'!$I$29='GA55 Check &amp; Edit'!$AP$6),"",VLOOKUP(D10,ram,8,0))))))))),"")</f>
        <v>3800</v>
      </c>
      <c r="H10" s="113" t="str">
        <f>IFERROR(IF(D10="","",IF(AND(E10=""),"",IF(OR(D10=$AX$24,D10=$AX$25,D10=$AX$26,D10=$AX$27,D10=$AX$28,D10=$AX$29),"",IF(AND('Master Data'!$I$29='GA55 Check &amp; Edit'!$AP$5),'Master Data'!$B$44,"")))),"")</f>
        <v/>
      </c>
      <c r="I10" s="113" t="str">
        <f>IFERROR(IF(D10="","",IF(AND(E10=""),"",IF(OR(D10=$AX$24,D10=$AX$25,D10=$AX$26,D10=$AX$27,D10=$AX$28,D10=$AX$29),"",IF(AND('Master Data'!$I$29='GA55 Check &amp; Edit'!$AP$5,'Master Data'!$E$29='GA55 Check &amp; Edit'!$AO$5),'Master Data'!$E$31,"0")))),"")</f>
        <v>0</v>
      </c>
      <c r="J10" s="113" t="str">
        <f>IFERROR(IF(OR('Master Data'!$E$33=$AO$6,'Master Data'!$E$33=""),"",IF(D10="","",IF(AND(E10=""),"",IF(OR(D10=$AX$24,D10=$AX$25,D10=$AX$26,D10=$AX$27,D10=$AX$28,D10=$AX$29),"",IF(AND('Master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0" s="113" t="str">
        <f>IFERROR(IF(D10="","",IF(AND(E10=""),"",IF(OR(D10=$AX$24,D10=$AX$25,D10=$AX$26,D10=$AX$27,D10=$AX$28,D10=$AX$29),"",IF(AND('Master Data'!$I$29='GA55 Check &amp; Edit'!$AP$5),'Master Data'!$C$44,"")))),"")</f>
        <v/>
      </c>
      <c r="L10" s="113" t="str">
        <f>IFERROR(IF(D10="","",IF(AND(E10=""),"",IF(OR(D10=$AX$24,D10=$AX$25,D10=$AX$26,D10=$AX$27,D10=$AX$28,D10=$AX$29),"",IF(AND('Master Data'!$I$29='GA55 Check &amp; Edit'!$AP$6),"",'Master Data'!$D$44)))),"")</f>
        <v/>
      </c>
      <c r="M10" s="113" t="str">
        <f>IFERROR(IF(D10="","",IF(AND(E10=""),"",IF(OR(D10=$AX$24,D10=$AX$25,D10=$AX$26,D10=$AX$27,D10=$AX$28,D10=$AX$29),"",IF(AND('Master Data'!$I$29='GA55 Check &amp; Edit'!$AP$6),"",'Master Data'!$E$44)))),"")</f>
        <v/>
      </c>
      <c r="N10" s="113" t="str">
        <f>IFERROR(IF(D10="","",IF(AND('Master Data'!$I$29='GA55 Check &amp; Edit'!$AP$6),"",IF(AND('Master Data'!$I$25='GA55 Check &amp; Edit'!$AO$6),"0",IF(AND(D10="Bonus"),VLOOKUP(D10,ram,4,0),"")))),"")</f>
        <v>0</v>
      </c>
      <c r="O10" s="114">
        <f>IF(D10="","",IF('Master Data'!$N$25="","",SUM(E10:N10)))</f>
        <v>72600</v>
      </c>
      <c r="P10" s="103" t="str">
        <f>IFERROR(IF(OR('Master Data'!$I$29='GA55 Check &amp; Edit'!$AP$6,D10=""),"",IF(AND(D10=$AX$24),"",IF(AND(D10=$AX$25),"",IF(AND(D10=$AX$26),"",IF(AND(D10=$AX$27),"",IF(AND(D10=$AX$28),"",IF(AND(D10=$AX$29),"",IF(AND(E10=""),"",VLOOKUP(D10,ram,11,0))))))))),"")</f>
        <v/>
      </c>
      <c r="Q10" s="102">
        <f>IFERROR(IF(AND('Master Data'!$I$29='GA55 Check &amp; Edit'!$AP$6),"",IF(AND(D10=$AX$25),"",IF(AND(D10=$AX$28),"",IF(AND(D10=$AX$29),"",IF(AND(D10=""),"",IF(AND(BB14=""),"",VLOOKUP(D10,ram,12,0))))))),"")</f>
        <v>2100</v>
      </c>
      <c r="R10" s="103" t="str">
        <f>IFERROR(IF(OR('Master Data'!$I$29='GA55 Check &amp; Edit'!$AP$6,D10=""),"",IF(AND(D10=$AX$24),"",IF(AND(D10=$AX$25),"",IF(AND(D10=$AX$26),"",IF(AND(D10=$AX$27),"",IF(AND(D10=$AX$28),"",IF(AND(D10=$AX$29),"",IF(AND(E10=""),"",'Master Data'!$I$44)))))))),"")</f>
        <v/>
      </c>
      <c r="S10" s="103">
        <f>IFERROR(IF(OR('Master Data'!$I$29='GA55 Check &amp; Edit'!$AP$6),"",IF(D10="","",IF(E10="","",IF(AND(D10=$AX$24),"",IF(AND(D10=$AX$25),"",IF(AND(D10=$AX$26),"",IF(AND(D10=$AX$27),"",IF(AND(D10=$AX$28),"",IF(AND(D10=$AX$29),"",VLOOKUP(D10,ram,10,0)))))))))),"")</f>
        <v>658</v>
      </c>
      <c r="T10" s="103">
        <f>IFERROR(IF(OR('Master Data'!$I$29='GA55 Check &amp; Edit'!$AP$6,D10=""),"",IF(AND(D10=$AX$24),"",IF(AND(D10=$AX$25),"",IF(AND(D10=$AX$26),"",IF(AND(D10=$AX$27),"",IF(AND(D10=$AX$28),"",IF(AND(D10=$AX$29),"",IF(AND(E10=""),"",'Master Data'!$K$44)))))))),"")</f>
        <v>3000</v>
      </c>
      <c r="U10" s="103">
        <f>IFERROR(IF(OR('Master Data'!$I$29='GA55 Check &amp; Edit'!$AP$6,D10=""),"",IF(AND(D10=$AX$24),"",IF(AND(D10=$AX$25),"",IF(AND(D10=$AX$26),"",IF(AND(D10=$AX$27),"",IF(AND(D10=$AX$28),"",IF(AND(D10=$AX$29),"",IF(AND(E10=""),"",'Master Data'!$L$44)))))))),"")</f>
        <v>2100</v>
      </c>
      <c r="V10" s="103" t="str">
        <f>IFERROR(IF(OR('Master Data'!$I$29='GA55 Check &amp; Edit'!$AP$6,D10=""),"",IF(AND(D10=$AX$24),"",IF(AND(D10=$AX$25),"",IF(AND(D10=$AX$26),"",IF(AND(D10=$AX$27),"",IF(AND(D10=$AX$28),"",IF(AND(D10=$AX$29),"",IF(AND(E10=""),"",'Master Data'!$M$44)))))))),"")</f>
        <v/>
      </c>
      <c r="W10" s="103" t="str">
        <f>IFERROR(IF(OR('Master Data'!$I$29='GA55 Check &amp; Edit'!$AP$6,D10=""),"",IF(AND(D10=$AX$24),"",IF(AND(D10=$AX$25),"",IF(AND(D10=$AX$26),"",IF(AND(D10=$AX$27),"",IF(AND(D10=$AX$28),"",IF(AND(D10=$AX$29),"",IF(AND(E10=""),"",'Master Data'!$N$44)))))))),"")</f>
        <v/>
      </c>
      <c r="X10" s="103" t="str">
        <f>IFERROR(IF(OR('Master Data'!$I$29='GA55 Check &amp; Edit'!$AP$6,D10=""),"",IF(AND(E10=""),"",IF(AND('GA55 Check &amp; Edit'!D10='GA55 Check &amp; Edit'!$AT$17,'Master Data'!$D$18="Gazetted"),500,IF(AND('GA55 Check &amp; Edit'!D10='GA55 Check &amp; Edit'!$AT$17,'Master Data'!$D$18="Non-Gazetted"),250,"")))),"")</f>
        <v/>
      </c>
      <c r="Y10" s="103" t="str">
        <f>IFERROR(IF(D10="","",IF(AND(E10=""),"",IF(AND(D10=$AX$24),"",IF(AND(D10=$AX$25),"",IF(AND(D10=$AX$26),"",IF(AND(D10=$AX$27),"",IF(AND(D10=$AX$28),"",IF(AND(D10=$AX$29),"",IF(OR('Master Data'!$I$29='GA55 Check &amp; Edit'!$AP$6,D10=""),"",$Y$7))))))))),"")</f>
        <v/>
      </c>
      <c r="Z10" s="103" t="str">
        <f>IFERROR(IF(OR('Master Data'!$I$29='GA55 Check &amp; Edit'!$AP$6),"",IF(D10="","",IF(E10="","",VLOOKUP(D10,ram,9,0)))),"")</f>
        <v/>
      </c>
      <c r="AA10" s="103" t="str">
        <f>IFERROR(IF(OR('Master Data'!$I$29='GA55 Check &amp; Edit'!$AP$6,D10="",'Master Data'!$N$35=""),"",IF(AND(E10=""),"",IF('GA55 Check &amp; Edit'!D10='GA55 Check &amp; Edit'!$AT$9,'Master Data'!$N$35,""))),"")</f>
        <v/>
      </c>
      <c r="AB10" s="115">
        <f t="shared" si="4"/>
        <v>7858</v>
      </c>
      <c r="AC10" s="116">
        <f t="shared" si="5"/>
        <v>64742</v>
      </c>
      <c r="AD10" s="117"/>
      <c r="AE10" s="118"/>
      <c r="AF10" s="1"/>
      <c r="AG10" s="108"/>
      <c r="AH10" s="109"/>
      <c r="AI10" s="109"/>
      <c r="AJ10" s="109"/>
      <c r="AK10" s="109"/>
      <c r="AL10" s="109"/>
      <c r="AM10" s="54"/>
      <c r="AN10" s="54"/>
      <c r="AO10" s="54"/>
      <c r="AP10" s="54"/>
      <c r="AQ10" s="54"/>
      <c r="AR10" s="54" t="s">
        <v>60</v>
      </c>
      <c r="AS10" s="54" t="s">
        <v>61</v>
      </c>
      <c r="AT10" s="89">
        <v>45778.0</v>
      </c>
      <c r="AU10" s="54" t="s">
        <v>62</v>
      </c>
      <c r="AV10" s="54"/>
      <c r="AW10" s="125" t="s">
        <v>55</v>
      </c>
      <c r="AX10" s="89">
        <v>45658.0</v>
      </c>
      <c r="AY10" s="54"/>
      <c r="AZ10" s="54"/>
      <c r="BA10" s="54">
        <f>IF(AND('Master Data'!$N$25=""),"",'Master Data'!$N$25)</f>
        <v>38000</v>
      </c>
      <c r="BB10" s="54" t="str">
        <f t="shared" ref="BB10:BB23" si="7">IF(AND(AX10&lt;$AZ$16),"",IF(AND(AX10&gt;$AZ$17),"",BA10))</f>
        <v/>
      </c>
      <c r="BC10" s="54">
        <f>IF(AND('Master Data'!$N$25=""),"",ROUND(53%*BA10,0))</f>
        <v>20140</v>
      </c>
      <c r="BD10" s="54" t="str">
        <f t="shared" ref="BD10:BD23" si="8">IF(BB10="","",BC10)</f>
        <v/>
      </c>
      <c r="BE10" s="126">
        <f>IFERROR(IF(AND('Master Data'!$N$25=""),"",ROUND('Master Data'!$E$35%*BB10,0)),"")</f>
        <v>0</v>
      </c>
      <c r="BF10" s="54"/>
      <c r="BG10" s="55">
        <f>IFERROR(IF(OR('Master Data'!$I$29='GA55 Check &amp; Edit'!$AP$6),"",'Master Data'!$J$44),"")</f>
        <v>650</v>
      </c>
      <c r="BH10" s="54" t="str">
        <f>IFERROR(IF(OR('Master Data'!$I$29='GA55 Check &amp; Edit'!$AP$6),"",'Master Data'!$G$44),"")</f>
        <v/>
      </c>
      <c r="BI10" s="127" t="str">
        <f>IFERROR(IF(OR('Master Data'!$I$29='GA55 Check &amp; Edit'!$AP$6),"",'Master Data'!$H$44),"")</f>
        <v/>
      </c>
      <c r="BJ10" s="54">
        <f t="shared" ref="BJ10:BJ16" si="9">BA10</f>
        <v>38000</v>
      </c>
      <c r="BK10" s="54"/>
      <c r="BL10" s="54">
        <f>MONTH(AZ17)</f>
        <v>2</v>
      </c>
      <c r="BM10" s="54"/>
      <c r="BN10" s="54"/>
      <c r="BO10" s="54"/>
      <c r="BP10" s="54"/>
      <c r="BQ10" s="54"/>
      <c r="BR10" s="54"/>
      <c r="BS10" s="128">
        <f>D8</f>
        <v>45717</v>
      </c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109"/>
      <c r="CJ10" s="109"/>
      <c r="CK10" s="109"/>
      <c r="CL10" s="109"/>
      <c r="CM10" s="109"/>
      <c r="CN10" s="109"/>
      <c r="CO10" s="109"/>
      <c r="CP10" s="108"/>
      <c r="CQ10" s="108"/>
      <c r="CR10" s="108"/>
      <c r="CS10" s="108"/>
      <c r="CT10" s="108"/>
    </row>
    <row r="11" ht="21.0" customHeight="1">
      <c r="A11" s="1">
        <f t="shared" si="1"/>
        <v>0</v>
      </c>
      <c r="B11" s="96">
        <f t="shared" si="6"/>
        <v>4</v>
      </c>
      <c r="C11" s="110">
        <f t="shared" si="2"/>
        <v>4</v>
      </c>
      <c r="D11" s="111">
        <f t="shared" si="3"/>
        <v>45809</v>
      </c>
      <c r="E11" s="112">
        <f>IFERROR(IF(D11="","",IF(AND(BQ15=""),"",IF(AND('Master Data'!$I$29='GA55 Check &amp; Edit'!$AP$6),VLOOKUP(D11,ram,13,0),VLOOKUP(D11,ram,4,0)))),"")</f>
        <v>38000</v>
      </c>
      <c r="F11" s="113">
        <f>IFERROR(IF(D11="","",IF(D11=$AX$24,"",IF(AND(D11=$AX$28),"",IF(AND('Master Data'!$I$29='GA55 Check &amp; Edit'!$AP$5),VLOOKUP(D11,ram,7,0),"")))),"")</f>
        <v>20900</v>
      </c>
      <c r="G11" s="113">
        <f>IFERROR(IF(D11="","",IF(D11=$AX$24,"",IF(AND(D11=$AX$25),"",IF(AND(D11=$AX$26),"",IF(AND(D11=$AX$27),"",IF(AND(D11=$AX$28),"",IF(AND(D11=$AX$29),"",IF(AND('Master Data'!$I$29='GA55 Check &amp; Edit'!$AP$6),"",VLOOKUP(D11,ram,8,0))))))))),"")</f>
        <v>3800</v>
      </c>
      <c r="H11" s="113" t="str">
        <f>IFERROR(IF(D11="","",IF(AND(E11=""),"",IF(OR(D11=$AX$24,D11=$AX$25,D11=$AX$26,D11=$AX$27,D11=$AX$28,D11=$AX$29),"",IF(AND('Master Data'!$I$29='GA55 Check &amp; Edit'!$AP$5),'Master Data'!$B$44,"")))),"")</f>
        <v/>
      </c>
      <c r="I11" s="113" t="str">
        <f>IFERROR(IF(D11="","",IF(AND(E11=""),"",IF(OR(D11=$AX$24,D11=$AX$25,D11=$AX$26,D11=$AX$27,D11=$AX$28,D11=$AX$29),"",IF(AND('Master Data'!$I$29='GA55 Check &amp; Edit'!$AP$5,'Master Data'!$E$29='GA55 Check &amp; Edit'!$AO$5),'Master Data'!$E$31,"0")))),"")</f>
        <v>0</v>
      </c>
      <c r="J11" s="113" t="str">
        <f>IFERROR(IF(OR('Master Data'!$E$33=$AO$6,'Master Data'!$E$33=""),"",IF(D11="","",IF(AND(E11=""),"",IF(OR(D11=$AX$24,D11=$AX$25,D11=$AX$26,D11=$AX$27,D11=$AX$28,D11=$AX$29),"",IF(AND('Master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1" s="113" t="str">
        <f>IFERROR(IF(D11="","",IF(AND(E11=""),"",IF(OR(D11=$AX$24,D11=$AX$25,D11=$AX$26,D11=$AX$27,D11=$AX$28,D11=$AX$29),"",IF(AND('Master Data'!$I$29='GA55 Check &amp; Edit'!$AP$5),'Master Data'!$C$44,"")))),"")</f>
        <v/>
      </c>
      <c r="L11" s="113" t="str">
        <f>IFERROR(IF(D11="","",IF(AND(E11=""),"",IF(OR(D11=$AX$24,D11=$AX$25,D11=$AX$26,D11=$AX$27,D11=$AX$28,D11=$AX$29),"",IF(AND('Master Data'!$I$29='GA55 Check &amp; Edit'!$AP$6),"",'Master Data'!$D$44)))),"")</f>
        <v/>
      </c>
      <c r="M11" s="113" t="str">
        <f>IFERROR(IF(D11="","",IF(AND(E11=""),"",IF(OR(D11=$AX$24,D11=$AX$25,D11=$AX$26,D11=$AX$27,D11=$AX$28,D11=$AX$29),"",IF(AND('Master Data'!$I$29='GA55 Check &amp; Edit'!$AP$6),"",'Master Data'!$E$44)))),"")</f>
        <v/>
      </c>
      <c r="N11" s="113" t="str">
        <f>IFERROR(IF(D11="","",IF(AND('Master Data'!$I$29='GA55 Check &amp; Edit'!$AP$6),"",IF(AND('Master Data'!$I$25='GA55 Check &amp; Edit'!$AO$6),"0",IF(AND(D11="Bonus"),VLOOKUP(D11,ram,4,0),"")))),"")</f>
        <v>0</v>
      </c>
      <c r="O11" s="114">
        <f>IF(D11="","",IF('Master Data'!$N$25="","",SUM(E11:N11)))</f>
        <v>62700</v>
      </c>
      <c r="P11" s="103" t="str">
        <f>IFERROR(IF(OR('Master Data'!$I$29='GA55 Check &amp; Edit'!$AP$6,D11=""),"",IF(AND(D11=$AX$24),"",IF(AND(D11=$AX$25),"",IF(AND(D11=$AX$26),"",IF(AND(D11=$AX$27),"",IF(AND(D11=$AX$28),"",IF(AND(D11=$AX$29),"",IF(AND(E11=""),"",VLOOKUP(D11,ram,11,0))))))))),"")</f>
        <v/>
      </c>
      <c r="Q11" s="102">
        <f>IFERROR(IF(AND('Master Data'!$I$29='GA55 Check &amp; Edit'!$AP$6),"",IF(AND(D11=$AX$25),"",IF(AND(D11=$AX$28),"",IF(AND(D11=$AX$29),"",IF(AND(D11=""),"",IF(AND(BB15=""),"",VLOOKUP(D11,ram,12,0))))))),"")</f>
        <v>2100</v>
      </c>
      <c r="R11" s="103" t="str">
        <f>IFERROR(IF(OR('Master Data'!$I$29='GA55 Check &amp; Edit'!$AP$6,D11=""),"",IF(AND(D11=$AX$24),"",IF(AND(D11=$AX$25),"",IF(AND(D11=$AX$26),"",IF(AND(D11=$AX$27),"",IF(AND(D11=$AX$28),"",IF(AND(D11=$AX$29),"",IF(AND(E11=""),"",'Master Data'!$I$44)))))))),"")</f>
        <v/>
      </c>
      <c r="S11" s="103">
        <f>IFERROR(IF(OR('Master Data'!$I$29='GA55 Check &amp; Edit'!$AP$6),"",IF(D11="","",IF(E11="","",IF(AND(D11=$AX$24),"",IF(AND(D11=$AX$25),"",IF(AND(D11=$AX$26),"",IF(AND(D11=$AX$27),"",IF(AND(D11=$AX$28),"",IF(AND(D11=$AX$29),"",VLOOKUP(D11,ram,10,0)))))))))),"")</f>
        <v>658</v>
      </c>
      <c r="T11" s="103">
        <f>IFERROR(IF(OR('Master Data'!$I$29='GA55 Check &amp; Edit'!$AP$6,D11=""),"",IF(AND(D11=$AX$24),"",IF(AND(D11=$AX$25),"",IF(AND(D11=$AX$26),"",IF(AND(D11=$AX$27),"",IF(AND(D11=$AX$28),"",IF(AND(D11=$AX$29),"",IF(AND(E11=""),"",'Master Data'!$K$44)))))))),"")</f>
        <v>3000</v>
      </c>
      <c r="U11" s="103">
        <f>IFERROR(IF(OR('Master Data'!$I$29='GA55 Check &amp; Edit'!$AP$6,D11=""),"",IF(AND(D11=$AX$24),"",IF(AND(D11=$AX$25),"",IF(AND(D11=$AX$26),"",IF(AND(D11=$AX$27),"",IF(AND(D11=$AX$28),"",IF(AND(D11=$AX$29),"",IF(AND(E11=""),"",'Master Data'!$L$44)))))))),"")</f>
        <v>2100</v>
      </c>
      <c r="V11" s="103" t="str">
        <f>IFERROR(IF(OR('Master Data'!$I$29='GA55 Check &amp; Edit'!$AP$6,D11=""),"",IF(AND(D11=$AX$24),"",IF(AND(D11=$AX$25),"",IF(AND(D11=$AX$26),"",IF(AND(D11=$AX$27),"",IF(AND(D11=$AX$28),"",IF(AND(D11=$AX$29),"",IF(AND(E11=""),"",'Master Data'!$M$44)))))))),"")</f>
        <v/>
      </c>
      <c r="W11" s="103" t="str">
        <f>IFERROR(IF(OR('Master Data'!$I$29='GA55 Check &amp; Edit'!$AP$6,D11=""),"",IF(AND(D11=$AX$24),"",IF(AND(D11=$AX$25),"",IF(AND(D11=$AX$26),"",IF(AND(D11=$AX$27),"",IF(AND(D11=$AX$28),"",IF(AND(D11=$AX$29),"",IF(AND(E11=""),"",'Master Data'!$N$44)))))))),"")</f>
        <v/>
      </c>
      <c r="X11" s="103" t="str">
        <f>IFERROR(IF(OR('Master Data'!$I$29='GA55 Check &amp; Edit'!$AP$6,D11=""),"",IF(AND(E11=""),"",IF(AND('GA55 Check &amp; Edit'!D11='GA55 Check &amp; Edit'!$AT$17,'Master Data'!$D$18="Gazetted"),500,IF(AND('GA55 Check &amp; Edit'!D11='GA55 Check &amp; Edit'!$AT$17,'Master Data'!$D$18="Non-Gazetted"),250,"")))),"")</f>
        <v/>
      </c>
      <c r="Y11" s="103" t="str">
        <f>IFERROR(IF(D11="","",IF(AND(E11=""),"",IF(AND(D11=$AX$24),"",IF(AND(D11=$AX$25),"",IF(AND(D11=$AX$26),"",IF(AND(D11=$AX$27),"",IF(AND(D11=$AX$28),"",IF(AND(D11=$AX$29),"",IF(OR('Master Data'!$I$29='GA55 Check &amp; Edit'!$AP$6,D11=""),"",$Y$7))))))))),"")</f>
        <v/>
      </c>
      <c r="Z11" s="103" t="str">
        <f>IFERROR(IF(OR('Master Data'!$I$29='GA55 Check &amp; Edit'!$AP$6),"",IF(D11="","",IF(E11="","",VLOOKUP(D11,ram,9,0)))),"")</f>
        <v/>
      </c>
      <c r="AA11" s="103" t="str">
        <f>IFERROR(IF(OR('Master Data'!$I$29='GA55 Check &amp; Edit'!$AP$6,D11="",'Master Data'!$N$35=""),"",IF(AND(E11=""),"",IF('GA55 Check &amp; Edit'!D11='GA55 Check &amp; Edit'!$AT$9,'Master Data'!$N$35,""))),"")</f>
        <v/>
      </c>
      <c r="AB11" s="115">
        <f t="shared" si="4"/>
        <v>7858</v>
      </c>
      <c r="AC11" s="116">
        <f t="shared" si="5"/>
        <v>54842</v>
      </c>
      <c r="AD11" s="117"/>
      <c r="AE11" s="118"/>
      <c r="AF11" s="1"/>
      <c r="AG11" s="108"/>
      <c r="AH11" s="109"/>
      <c r="AI11" s="109"/>
      <c r="AJ11" s="109"/>
      <c r="AK11" s="109"/>
      <c r="AL11" s="109"/>
      <c r="AM11" s="54"/>
      <c r="AN11" s="54"/>
      <c r="AO11" s="54"/>
      <c r="AP11" s="54"/>
      <c r="AQ11" s="54"/>
      <c r="AR11" s="54" t="s">
        <v>63</v>
      </c>
      <c r="AS11" s="54" t="s">
        <v>64</v>
      </c>
      <c r="AT11" s="89">
        <v>45809.0</v>
      </c>
      <c r="AU11" s="54" t="s">
        <v>65</v>
      </c>
      <c r="AV11" s="54"/>
      <c r="AW11" s="125" t="s">
        <v>58</v>
      </c>
      <c r="AX11" s="89">
        <v>45689.0</v>
      </c>
      <c r="AY11" s="54"/>
      <c r="AZ11" s="129"/>
      <c r="BA11" s="54">
        <f>IF(AND('Master Data'!$N$25=""),"",'Master Data'!$N$25)</f>
        <v>38000</v>
      </c>
      <c r="BB11" s="54" t="str">
        <f t="shared" si="7"/>
        <v/>
      </c>
      <c r="BC11" s="54">
        <f>IF(AND('Master Data'!$N$25=""),"",ROUND(53%*BA11,0))</f>
        <v>20140</v>
      </c>
      <c r="BD11" s="54" t="str">
        <f t="shared" si="8"/>
        <v/>
      </c>
      <c r="BE11" s="126">
        <f>IFERROR(IF(AND('Master Data'!$N$25=""),"",ROUND('Master Data'!$E$35%*BB11,0)),"")</f>
        <v>0</v>
      </c>
      <c r="BF11" s="54"/>
      <c r="BG11" s="55">
        <f>IFERROR(IF(OR('Master Data'!$I$29='GA55 Check &amp; Edit'!$AP$6),"",IF('Master Data'!$I$31="GPF-2004",IF(BB11&lt;18001,135,IF(BB11&lt;33501,220,IF(BB11&lt;54001,330,440))),IF(AND('Master Data'!$I$31="GPF",'Master Data'!$J$44=""),IF(BB11&lt;18001,265,IF(BB11&lt;33501,440,IF(BB11&lt;54001,658,875))),'Master Data'!$J$44))),"")</f>
        <v>440</v>
      </c>
      <c r="BH11" s="54" t="str">
        <f>IFERROR(IF(OR('Master Data'!$I$29='GA55 Check &amp; Edit'!$AP$6),"",'Master Data'!$G$44),"")</f>
        <v/>
      </c>
      <c r="BI11" s="127" t="str">
        <f>IFERROR(IF(OR('Master Data'!$I$29='GA55 Check &amp; Edit'!$AP$6),"",'Master Data'!$H$44),"")</f>
        <v/>
      </c>
      <c r="BJ11" s="54">
        <f t="shared" si="9"/>
        <v>38000</v>
      </c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109"/>
      <c r="CJ11" s="109"/>
      <c r="CK11" s="109"/>
      <c r="CL11" s="109"/>
      <c r="CM11" s="109"/>
      <c r="CN11" s="109"/>
      <c r="CO11" s="109"/>
      <c r="CP11" s="108"/>
      <c r="CQ11" s="108"/>
      <c r="CR11" s="108"/>
      <c r="CS11" s="108"/>
      <c r="CT11" s="108"/>
    </row>
    <row r="12" ht="21.0" customHeight="1">
      <c r="A12" s="1">
        <f t="shared" si="1"/>
        <v>1</v>
      </c>
      <c r="B12" s="96">
        <f t="shared" si="6"/>
        <v>5</v>
      </c>
      <c r="C12" s="110">
        <f t="shared" si="2"/>
        <v>5</v>
      </c>
      <c r="D12" s="111">
        <f t="shared" si="3"/>
        <v>45839</v>
      </c>
      <c r="E12" s="112">
        <f>IFERROR(IF(D12="","",IF(AND(BQ16=""),"",IF(AND('Master Data'!$I$29='GA55 Check &amp; Edit'!$AP$6),VLOOKUP(D12,ram,13,0),VLOOKUP(D12,ram,4,0)))),"")</f>
        <v>39100</v>
      </c>
      <c r="F12" s="113">
        <f>IFERROR(IF(D12="","",IF(D12=$AX$24,"",IF(AND(D12=$AX$28),"",IF(AND('Master Data'!$I$29='GA55 Check &amp; Edit'!$AP$5),VLOOKUP(D12,ram,7,0),"")))),"")</f>
        <v>21505</v>
      </c>
      <c r="G12" s="113">
        <f>IFERROR(IF(D12="","",IF(D12=$AX$24,"",IF(AND(D12=$AX$25),"",IF(AND(D12=$AX$26),"",IF(AND(D12=$AX$27),"",IF(AND(D12=$AX$28),"",IF(AND(D12=$AX$29),"",IF(AND('Master Data'!$I$29='GA55 Check &amp; Edit'!$AP$6),"",VLOOKUP(D12,ram,8,0))))))))),"")</f>
        <v>3910</v>
      </c>
      <c r="H12" s="113" t="str">
        <f>IFERROR(IF(D12="","",IF(AND(E12=""),"",IF(OR(D12=$AX$24,D12=$AX$25,D12=$AX$26,D12=$AX$27,D12=$AX$28,D12=$AX$29),"",IF(AND('Master Data'!$I$29='GA55 Check &amp; Edit'!$AP$5),'Master Data'!$B$44,"")))),"")</f>
        <v/>
      </c>
      <c r="I12" s="113" t="str">
        <f>IFERROR(IF(D12="","",IF(AND(E12=""),"",IF(OR(D12=$AX$24,D12=$AX$25,D12=$AX$26,D12=$AX$27,D12=$AX$28,D12=$AX$29),"",IF(AND('Master Data'!$I$29='GA55 Check &amp; Edit'!$AP$5,'Master Data'!$E$29='GA55 Check &amp; Edit'!$AO$5),'Master Data'!$E$31,"0")))),"")</f>
        <v>0</v>
      </c>
      <c r="J12" s="113" t="str">
        <f>IFERROR(IF(OR('Master Data'!$E$33=$AO$6,'Master Data'!$E$33=""),"",IF(D12="","",IF(AND(E12=""),"",IF(OR(D12=$AX$24,D12=$AX$25,D12=$AX$26,D12=$AX$27,D12=$AX$28,D12=$AX$29),"",IF(AND('Master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2" s="113" t="str">
        <f>IFERROR(IF(D12="","",IF(AND(E12=""),"",IF(OR(D12=$AX$24,D12=$AX$25,D12=$AX$26,D12=$AX$27,D12=$AX$28,D12=$AX$29),"",IF(AND('Master Data'!$I$29='GA55 Check &amp; Edit'!$AP$5),'Master Data'!$C$44,"")))),"")</f>
        <v/>
      </c>
      <c r="L12" s="113" t="str">
        <f>IFERROR(IF(D12="","",IF(AND(E12=""),"",IF(OR(D12=$AX$24,D12=$AX$25,D12=$AX$26,D12=$AX$27,D12=$AX$28,D12=$AX$29),"",IF(AND('Master Data'!$I$29='GA55 Check &amp; Edit'!$AP$6),"",'Master Data'!$D$44)))),"")</f>
        <v/>
      </c>
      <c r="M12" s="113" t="str">
        <f>IFERROR(IF(D12="","",IF(AND(E12=""),"",IF(OR(D12=$AX$24,D12=$AX$25,D12=$AX$26,D12=$AX$27,D12=$AX$28,D12=$AX$29),"",IF(AND('Master Data'!$I$29='GA55 Check &amp; Edit'!$AP$6),"",'Master Data'!$E$44)))),"")</f>
        <v/>
      </c>
      <c r="N12" s="113" t="str">
        <f>IFERROR(IF(D12="","",IF(AND('Master Data'!$I$29='GA55 Check &amp; Edit'!$AP$6),"",IF(AND('Master Data'!$I$25='GA55 Check &amp; Edit'!$AO$6),"0",IF(AND(D12="Bonus"),VLOOKUP(D12,ram,4,0),"")))),"")</f>
        <v>0</v>
      </c>
      <c r="O12" s="114">
        <f>IF(D12="","",IF('Master Data'!$N$25="","",SUM(E12:N12)))</f>
        <v>64515</v>
      </c>
      <c r="P12" s="103" t="str">
        <f>IFERROR(IF(OR('Master Data'!$I$29='GA55 Check &amp; Edit'!$AP$6,D12=""),"",IF(AND(D12=$AX$24),"",IF(AND(D12=$AX$25),"",IF(AND(D12=$AX$26),"",IF(AND(D12=$AX$27),"",IF(AND(D12=$AX$28),"",IF(AND(D12=$AX$29),"",IF(AND(E12=""),"",VLOOKUP(D12,ram,11,0))))))))),"")</f>
        <v/>
      </c>
      <c r="Q12" s="102">
        <f>IFERROR(IF(AND('Master Data'!$I$29='GA55 Check &amp; Edit'!$AP$6),"",IF(AND(D12=$AX$25),"",IF(AND(D12=$AX$28),"",IF(AND(D12=$AX$29),"",IF(AND(D12=""),"",IF(AND(BB16=""),"",VLOOKUP(D12,ram,12,0))))))),"")</f>
        <v>2850</v>
      </c>
      <c r="R12" s="103" t="str">
        <f>IFERROR(IF(OR('Master Data'!$I$29='GA55 Check &amp; Edit'!$AP$6,D12=""),"",IF(AND(D12=$AX$24),"",IF(AND(D12=$AX$25),"",IF(AND(D12=$AX$26),"",IF(AND(D12=$AX$27),"",IF(AND(D12=$AX$28),"",IF(AND(D12=$AX$29),"",IF(AND(E12=""),"",'Master Data'!$I$44)))))))),"")</f>
        <v/>
      </c>
      <c r="S12" s="103">
        <f>IFERROR(IF(OR('Master Data'!$I$29='GA55 Check &amp; Edit'!$AP$6),"",IF(D12="","",IF(E12="","",IF(AND(D12=$AX$24),"",IF(AND(D12=$AX$25),"",IF(AND(D12=$AX$26),"",IF(AND(D12=$AX$27),"",IF(AND(D12=$AX$28),"",IF(AND(D12=$AX$29),"",VLOOKUP(D12,ram,10,0)))))))))),"")</f>
        <v>658</v>
      </c>
      <c r="T12" s="103">
        <f>IFERROR(IF(OR('Master Data'!$I$29='GA55 Check &amp; Edit'!$AP$6,D12=""),"",IF(AND(D12=$AX$24),"",IF(AND(D12=$AX$25),"",IF(AND(D12=$AX$26),"",IF(AND(D12=$AX$27),"",IF(AND(D12=$AX$28),"",IF(AND(D12=$AX$29),"",IF(AND(E12=""),"",'Master Data'!$K$44)))))))),"")</f>
        <v>3000</v>
      </c>
      <c r="U12" s="103">
        <f>IFERROR(IF(OR('Master Data'!$I$29='GA55 Check &amp; Edit'!$AP$6,D12=""),"",IF(AND(D12=$AX$24),"",IF(AND(D12=$AX$25),"",IF(AND(D12=$AX$26),"",IF(AND(D12=$AX$27),"",IF(AND(D12=$AX$28),"",IF(AND(D12=$AX$29),"",IF(AND(E12=""),"",'Master Data'!$L$44)))))))),"")</f>
        <v>2100</v>
      </c>
      <c r="V12" s="103" t="str">
        <f>IFERROR(IF(OR('Master Data'!$I$29='GA55 Check &amp; Edit'!$AP$6,D12=""),"",IF(AND(D12=$AX$24),"",IF(AND(D12=$AX$25),"",IF(AND(D12=$AX$26),"",IF(AND(D12=$AX$27),"",IF(AND(D12=$AX$28),"",IF(AND(D12=$AX$29),"",IF(AND(E12=""),"",'Master Data'!$M$44)))))))),"")</f>
        <v/>
      </c>
      <c r="W12" s="103" t="str">
        <f>IFERROR(IF(OR('Master Data'!$I$29='GA55 Check &amp; Edit'!$AP$6,D12=""),"",IF(AND(D12=$AX$24),"",IF(AND(D12=$AX$25),"",IF(AND(D12=$AX$26),"",IF(AND(D12=$AX$27),"",IF(AND(D12=$AX$28),"",IF(AND(D12=$AX$29),"",IF(AND(E12=""),"",'Master Data'!$N$44)))))))),"")</f>
        <v/>
      </c>
      <c r="X12" s="103" t="str">
        <f>IFERROR(IF(OR('Master Data'!$I$29='GA55 Check &amp; Edit'!$AP$6,D12=""),"",IF(AND(E12=""),"",IF(AND('GA55 Check &amp; Edit'!D12='GA55 Check &amp; Edit'!$AT$17,'Master Data'!$D$18="Gazetted"),500,IF(AND('GA55 Check &amp; Edit'!D12='GA55 Check &amp; Edit'!$AT$17,'Master Data'!$D$18="Non-Gazetted"),250,"")))),"")</f>
        <v/>
      </c>
      <c r="Y12" s="103" t="str">
        <f>IFERROR(IF(D12="","",IF(AND(E12=""),"",IF(AND(D12=$AX$24),"",IF(AND(D12=$AX$25),"",IF(AND(D12=$AX$26),"",IF(AND(D12=$AX$27),"",IF(AND(D12=$AX$28),"",IF(AND(D12=$AX$29),"",IF(OR('Master Data'!$I$29='GA55 Check &amp; Edit'!$AP$6,D12=""),"",$Y$7))))))))),"")</f>
        <v/>
      </c>
      <c r="Z12" s="103" t="str">
        <f>IFERROR(IF(OR('Master Data'!$I$29='GA55 Check &amp; Edit'!$AP$6),"",IF(D12="","",IF(E12="","",VLOOKUP(D12,ram,9,0)))),"")</f>
        <v/>
      </c>
      <c r="AA12" s="103" t="str">
        <f>IFERROR(IF(OR('Master Data'!$I$29='GA55 Check &amp; Edit'!$AP$6,D12="",'Master Data'!$N$35=""),"",IF(AND(E12=""),"",IF('GA55 Check &amp; Edit'!D12='GA55 Check &amp; Edit'!$AT$9,'Master Data'!$N$35,""))),"")</f>
        <v/>
      </c>
      <c r="AB12" s="115">
        <f t="shared" si="4"/>
        <v>8608</v>
      </c>
      <c r="AC12" s="116">
        <f t="shared" si="5"/>
        <v>55907</v>
      </c>
      <c r="AD12" s="117"/>
      <c r="AE12" s="118"/>
      <c r="AF12" s="1"/>
      <c r="AG12" s="108"/>
      <c r="AH12" s="109"/>
      <c r="AI12" s="109"/>
      <c r="AJ12" s="109"/>
      <c r="AK12" s="109"/>
      <c r="AL12" s="109"/>
      <c r="AM12" s="54"/>
      <c r="AN12" s="54"/>
      <c r="AO12" s="54"/>
      <c r="AP12" s="54"/>
      <c r="AQ12" s="54"/>
      <c r="AR12" s="54" t="s">
        <v>66</v>
      </c>
      <c r="AS12" s="54" t="s">
        <v>67</v>
      </c>
      <c r="AT12" s="89">
        <v>45839.0</v>
      </c>
      <c r="AU12" s="54" t="s">
        <v>68</v>
      </c>
      <c r="AV12" s="54"/>
      <c r="AW12" s="125" t="s">
        <v>61</v>
      </c>
      <c r="AX12" s="89">
        <v>45717.0</v>
      </c>
      <c r="AY12" s="54">
        <v>3.0</v>
      </c>
      <c r="AZ12" s="54"/>
      <c r="BA12" s="55">
        <f>IF(AND('Master Data'!$N$25=""),"",IF(AND('Master Data'!$N$27='GA55 Check &amp; Edit'!$AP$6),'GA55 Check &amp; Edit'!$AZ$15,BU12))</f>
        <v>38000</v>
      </c>
      <c r="BB12" s="55">
        <f t="shared" si="7"/>
        <v>38000</v>
      </c>
      <c r="BC12" s="54">
        <f>IF(AND('Master Data'!$N$25=""),"",ROUND(53%*BA12,0))</f>
        <v>20140</v>
      </c>
      <c r="BD12" s="54">
        <f t="shared" si="8"/>
        <v>20140</v>
      </c>
      <c r="BE12" s="126">
        <f>IFERROR(IF(AND('Master Data'!$N$25=""),"",ROUND('Master Data'!$E$35%*BB12,0)),"")</f>
        <v>3800</v>
      </c>
      <c r="BF12" s="55" t="str">
        <f>'Master Data'!C48</f>
        <v/>
      </c>
      <c r="BG12" s="55">
        <f>IFERROR(IF(OR('Master Data'!$I$29='GA55 Check &amp; Edit'!$AP$6),"",IF('Master Data'!$I$31="GPF-2004",IF(BB12&lt;18001,265,IF(BB12&lt;33501,440,IF(BB12&lt;54001,658,875))),IF(AND('Master Data'!$I$31="GPF",'Master Data'!$J$44=""),IF(BB12&lt;18001,265,IF(BB12&lt;33501,440,IF(BB12&lt;54001,658,875))),'Master Data'!$J$44))),"")</f>
        <v>658</v>
      </c>
      <c r="BH12" s="54" t="str">
        <f>IFERROR(IF(OR('Master Data'!$I$29='GA55 Check &amp; Edit'!$AP$6),"",'Master Data'!$G$44),"")</f>
        <v/>
      </c>
      <c r="BI12" s="127">
        <f>IFERROR(IF(OR('Master Data'!$I$29='GA55 Check &amp; Edit'!$AP$6),"",IF('Master Data'!$I$31="GPF-2004",IF(BB12&lt;23101,1450,IF(BB12&lt;28501,1625,IF(BB12&lt;38501,2100,IF(BB12&lt;51501,2850,IF(BB12&lt;62001,3575,IF(BB12&lt;72001,4200,IF(BB12&lt;80001,4800,IF(BB12&lt;116001,6150,IF(BB12&lt;167001,8900,10500))))))))),'Master Data'!$H$44)),"")</f>
        <v>2100</v>
      </c>
      <c r="BJ12" s="55">
        <f t="shared" si="9"/>
        <v>38000</v>
      </c>
      <c r="BK12" s="130">
        <v>45717.0</v>
      </c>
      <c r="BL12" s="130">
        <f>IFERROR(IF('Master Data'!$N$25="","",IF('Master Data'!$F$41="","",IF(AND($AZ$17&gt;$AZ$9),"",DATE(YEAR(AZ16),MONTH(AZ16),DAY(AZ16))))),"")</f>
        <v>45717</v>
      </c>
      <c r="BM12" s="130">
        <f>IFERROR(IF('Master Data'!$N$25="","",IF('Master Data'!$F$41="","",IF(AND($AZ$17&gt;$AZ$9),"",DATE(YEAR(AZ16),MONTH(AZ16),DAY(AZ16))))),"")</f>
        <v>45717</v>
      </c>
      <c r="BN12" s="130">
        <f t="shared" ref="BN12:BN32" si="10">IF(AND(BM12=""),"",IF(AND(BM12=$BK$12),$BK$12,IF(AND(BM12=$BK$13),$BK$13,IF(AND(BM12=$BK$14),$BK$14,IF(AND(BM12=$BK$15),$BK$15,IF(AND(BM12=$BK$16),$BK$16,IF(AND(BM12=$BK$17),$BK$17,IF(AND(BM12=$BK$18),$BK$18,IF(AND(BM12=$BK$19),$BK$19,IF(AND(BM12=$BK$20),$BK$20,IF(AND(BM12=$BK$21),$BK$21,IF(AND(BM12=$BK$22),$BK$22,IF(AND(BM12=$BK$23),$BK$23,IF(AND(BM12=$BK$24),$BM$24,IF(AND(BM12=$BK$25),$BM$25,IF(AND(BM12=$BK$26),$BM$26,IF(AND(BM12=$BK$27),$BM$27,IF(AND(BM12=$BK$28),$BM$28,IF(AND(BM12=$BK$29),$BM$29,IF(AND(BM12=$BK$30),$BM$30,IF(AND(BM12=$BK$31),$BM$31,IF(AND(BM12=$BK$32),$BM$32,""))))))))))))))))))))))</f>
        <v>45717</v>
      </c>
      <c r="BO12" s="130">
        <f>IFERROR(IF(BM12="","",IF(AND(BL12=$BK$24),$BM$24,IF(AND(BL12=$BK$25),$BM$25,IF(AND(BL12=$BK$26),$BM$26,IF(AND(BL12=$BK$27),$BM$27,IF(AND(BL12=$BK$28),$BM$28,IF(AND(BL12=$BK$29),$BM$29,IF(AND(BL12=$BK$30),$BM$30,IF(AND(BL12=$BK$31),$BM$31,IF(AND(BL12=$BK$32),$BM$32,BN12)))))))))),"")</f>
        <v>45717</v>
      </c>
      <c r="BP12" s="130"/>
      <c r="BQ12" s="130">
        <f t="shared" ref="BQ12:BQ32" si="11">IFERROR(IF(BM12="","",IF(D8=$AX$25,$AX$25,IF(D8=$AX$30,$AX$30,IF(D8=$AX$31,$AX$31,IF(D8=$AX$32,$AX$32,IF(BM12&gt;$AZ$17,"",BM12)))))),"")</f>
        <v>45717</v>
      </c>
      <c r="BR12" s="130"/>
      <c r="BS12" s="55">
        <f t="shared" ref="BS12:BS20" si="12">OFFSET(D6,MATCH(BO12,$D$8:$D$27,0)+1,MATCH(BO12,D8:N8,0))</f>
        <v>47900</v>
      </c>
      <c r="BT12" s="55"/>
      <c r="BU12" s="55">
        <f>IF(AND('Master Data'!$N$25=""),"",IF(AND('Master Data'!$N$27='GA55 Check &amp; Edit'!AX12),'Master Data'!$N$31,'Master Data'!$N$25))</f>
        <v>38000</v>
      </c>
      <c r="BV12" s="130"/>
      <c r="BW12" s="54"/>
      <c r="BX12" s="55" t="str">
        <f t="shared" ref="BX12:BX23" si="13">IF(BB12="",0,BF12)</f>
        <v/>
      </c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109"/>
      <c r="CJ12" s="109"/>
      <c r="CK12" s="109"/>
      <c r="CL12" s="109"/>
      <c r="CM12" s="109"/>
      <c r="CN12" s="109"/>
      <c r="CO12" s="109"/>
      <c r="CP12" s="108"/>
      <c r="CQ12" s="108"/>
      <c r="CR12" s="108"/>
      <c r="CS12" s="108"/>
      <c r="CT12" s="108"/>
    </row>
    <row r="13" ht="21.0" customHeight="1">
      <c r="A13" s="1">
        <f t="shared" si="1"/>
        <v>0</v>
      </c>
      <c r="B13" s="96">
        <f t="shared" si="6"/>
        <v>6</v>
      </c>
      <c r="C13" s="110">
        <f t="shared" si="2"/>
        <v>6</v>
      </c>
      <c r="D13" s="111">
        <f t="shared" si="3"/>
        <v>45870</v>
      </c>
      <c r="E13" s="112">
        <f>IFERROR(IF(D13="","",IF(AND(BQ17=""),"",IF(AND('Master Data'!$I$29='GA55 Check &amp; Edit'!$AP$6),VLOOKUP(D13,ram,13,0),VLOOKUP(D13,ram,4,0)))),"")</f>
        <v>39100</v>
      </c>
      <c r="F13" s="113">
        <f>IFERROR(IF(D13="","",IF(D13=$AX$24,"",IF(AND(D13=$AX$28),"",IF(AND('Master Data'!$I$29='GA55 Check &amp; Edit'!$AP$5),VLOOKUP(D13,ram,7,0),"")))),"")</f>
        <v>21505</v>
      </c>
      <c r="G13" s="113">
        <f>IFERROR(IF(D13="","",IF(D13=$AX$24,"",IF(AND(D13=$AX$25),"",IF(AND(D13=$AX$26),"",IF(AND(D13=$AX$27),"",IF(AND(D13=$AX$28),"",IF(AND(D13=$AX$29),"",IF(AND('Master Data'!$I$29='GA55 Check &amp; Edit'!$AP$6),"",VLOOKUP(D13,ram,8,0))))))))),"")</f>
        <v>3910</v>
      </c>
      <c r="H13" s="113" t="str">
        <f>IFERROR(IF(D13="","",IF(AND(E13=""),"",IF(OR(D13=$AX$24,D13=$AX$25,D13=$AX$26,D13=$AX$27,D13=$AX$28,D13=$AX$29),"",IF(AND('Master Data'!$I$29='GA55 Check &amp; Edit'!$AP$5),'Master Data'!$B$44,"")))),"")</f>
        <v/>
      </c>
      <c r="I13" s="113" t="str">
        <f>IFERROR(IF(D13="","",IF(AND(E13=""),"",IF(OR(D13=$AX$24,D13=$AX$25,D13=$AX$26,D13=$AX$27,D13=$AX$28,D13=$AX$29),"",IF(AND('Master Data'!$I$29='GA55 Check &amp; Edit'!$AP$5,'Master Data'!$E$29='GA55 Check &amp; Edit'!$AO$5),'Master Data'!$E$31,"0")))),"")</f>
        <v>0</v>
      </c>
      <c r="J13" s="113" t="str">
        <f>IFERROR(IF(OR('Master Data'!$E$33=$AO$6,'Master Data'!$E$33=""),"",IF(D13="","",IF(AND(E13=""),"",IF(OR(D13=$AX$24,D13=$AX$25,D13=$AX$26,D13=$AX$27,D13=$AX$28,D13=$AX$29),"",IF(AND('Master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3" s="113" t="str">
        <f>IFERROR(IF(D13="","",IF(AND(E13=""),"",IF(OR(D13=$AX$24,D13=$AX$25,D13=$AX$26,D13=$AX$27,D13=$AX$28,D13=$AX$29),"",IF(AND('Master Data'!$I$29='GA55 Check &amp; Edit'!$AP$5),'Master Data'!$C$44,"")))),"")</f>
        <v/>
      </c>
      <c r="L13" s="113" t="str">
        <f>IFERROR(IF(D13="","",IF(AND(E13=""),"",IF(OR(D13=$AX$24,D13=$AX$25,D13=$AX$26,D13=$AX$27,D13=$AX$28,D13=$AX$29),"",IF(AND('Master Data'!$I$29='GA55 Check &amp; Edit'!$AP$6),"",'Master Data'!$D$44)))),"")</f>
        <v/>
      </c>
      <c r="M13" s="113" t="str">
        <f>IFERROR(IF(D13="","",IF(AND(E13=""),"",IF(OR(D13=$AX$24,D13=$AX$25,D13=$AX$26,D13=$AX$27,D13=$AX$28,D13=$AX$29),"",IF(AND('Master Data'!$I$29='GA55 Check &amp; Edit'!$AP$6),"",'Master Data'!$E$44)))),"")</f>
        <v/>
      </c>
      <c r="N13" s="113" t="str">
        <f>IFERROR(IF(D13="","",IF(AND('Master Data'!$I$29='GA55 Check &amp; Edit'!$AP$6),"",IF(AND('Master Data'!$I$25='GA55 Check &amp; Edit'!$AO$6),"0",IF(AND(D13="Bonus"),VLOOKUP(D13,ram,4,0),"")))),"")</f>
        <v>0</v>
      </c>
      <c r="O13" s="114">
        <f>IF(D13="","",IF('Master Data'!$N$25="","",SUM(E13:N13)))</f>
        <v>64515</v>
      </c>
      <c r="P13" s="103" t="str">
        <f>IFERROR(IF(OR('Master Data'!$I$29='GA55 Check &amp; Edit'!$AP$6,D13=""),"",IF(AND(D13=$AX$24),"",IF(AND(D13=$AX$25),"",IF(AND(D13=$AX$26),"",IF(AND(D13=$AX$27),"",IF(AND(D13=$AX$28),"",IF(AND(D13=$AX$29),"",IF(AND(E13=""),"",VLOOKUP(D13,ram,11,0))))))))),"")</f>
        <v/>
      </c>
      <c r="Q13" s="102">
        <f>IFERROR(IF(AND('Master Data'!$I$29='GA55 Check &amp; Edit'!$AP$6),"",IF(AND(D13=$AX$25),"",IF(AND(D13=$AX$28),"",IF(AND(D13=$AX$29),"",IF(AND(D13=""),"",IF(AND(BB17=""),"",VLOOKUP(D13,ram,12,0))))))),"")</f>
        <v>2850</v>
      </c>
      <c r="R13" s="103" t="str">
        <f>IFERROR(IF(OR('Master Data'!$I$29='GA55 Check &amp; Edit'!$AP$6,D13=""),"",IF(AND(D13=$AX$24),"",IF(AND(D13=$AX$25),"",IF(AND(D13=$AX$26),"",IF(AND(D13=$AX$27),"",IF(AND(D13=$AX$28),"",IF(AND(D13=$AX$29),"",IF(AND(E13=""),"",'Master Data'!$I$44)))))))),"")</f>
        <v/>
      </c>
      <c r="S13" s="103">
        <f>IFERROR(IF(OR('Master Data'!$I$29='GA55 Check &amp; Edit'!$AP$6),"",IF(D13="","",IF(E13="","",IF(AND(D13=$AX$24),"",IF(AND(D13=$AX$25),"",IF(AND(D13=$AX$26),"",IF(AND(D13=$AX$27),"",IF(AND(D13=$AX$28),"",IF(AND(D13=$AX$29),"",VLOOKUP(D13,ram,10,0)))))))))),"")</f>
        <v>658</v>
      </c>
      <c r="T13" s="103">
        <f>IFERROR(IF(OR('Master Data'!$I$29='GA55 Check &amp; Edit'!$AP$6,D13=""),"",IF(AND(D13=$AX$24),"",IF(AND(D13=$AX$25),"",IF(AND(D13=$AX$26),"",IF(AND(D13=$AX$27),"",IF(AND(D13=$AX$28),"",IF(AND(D13=$AX$29),"",IF(AND(E13=""),"",'Master Data'!$K$44)))))))),"")</f>
        <v>3000</v>
      </c>
      <c r="U13" s="103">
        <f>IFERROR(IF(OR('Master Data'!$I$29='GA55 Check &amp; Edit'!$AP$6,D13=""),"",IF(AND(D13=$AX$24),"",IF(AND(D13=$AX$25),"",IF(AND(D13=$AX$26),"",IF(AND(D13=$AX$27),"",IF(AND(D13=$AX$28),"",IF(AND(D13=$AX$29),"",IF(AND(E13=""),"",'Master Data'!$L$44)))))))),"")</f>
        <v>2100</v>
      </c>
      <c r="V13" s="103" t="str">
        <f>IFERROR(IF(OR('Master Data'!$I$29='GA55 Check &amp; Edit'!$AP$6,D13=""),"",IF(AND(D13=$AX$24),"",IF(AND(D13=$AX$25),"",IF(AND(D13=$AX$26),"",IF(AND(D13=$AX$27),"",IF(AND(D13=$AX$28),"",IF(AND(D13=$AX$29),"",IF(AND(E13=""),"",'Master Data'!$M$44)))))))),"")</f>
        <v/>
      </c>
      <c r="W13" s="103" t="str">
        <f>IFERROR(IF(OR('Master Data'!$I$29='GA55 Check &amp; Edit'!$AP$6,D13=""),"",IF(AND(D13=$AX$24),"",IF(AND(D13=$AX$25),"",IF(AND(D13=$AX$26),"",IF(AND(D13=$AX$27),"",IF(AND(D13=$AX$28),"",IF(AND(D13=$AX$29),"",IF(AND(E13=""),"",'Master Data'!$N$44)))))))),"")</f>
        <v/>
      </c>
      <c r="X13" s="103" t="str">
        <f>IFERROR(IF(OR('Master Data'!$I$29='GA55 Check &amp; Edit'!$AP$6,D13=""),"",IF(AND(E13=""),"",IF(AND('GA55 Check &amp; Edit'!D13='GA55 Check &amp; Edit'!$AT$17,'Master Data'!$D$18="Gazetted"),500,IF(AND('GA55 Check &amp; Edit'!D13='GA55 Check &amp; Edit'!$AT$17,'Master Data'!$D$18="Non-Gazetted"),250,"")))),"")</f>
        <v/>
      </c>
      <c r="Y13" s="103" t="str">
        <f>IFERROR(IF(D13="","",IF(AND(E13=""),"",IF(AND(D13=$AX$24),"",IF(AND(D13=$AX$25),"",IF(AND(D13=$AX$26),"",IF(AND(D13=$AX$27),"",IF(AND(D13=$AX$28),"",IF(AND(D13=$AX$29),"",IF(OR('Master Data'!$I$29='GA55 Check &amp; Edit'!$AP$6,D13=""),"",$Y$7))))))))),"")</f>
        <v/>
      </c>
      <c r="Z13" s="103" t="str">
        <f>IFERROR(IF(OR('Master Data'!$I$29='GA55 Check &amp; Edit'!$AP$6),"",IF(D13="","",IF(E13="","",VLOOKUP(D13,ram,9,0)))),"")</f>
        <v/>
      </c>
      <c r="AA13" s="103" t="str">
        <f>IFERROR(IF(OR('Master Data'!$I$29='GA55 Check &amp; Edit'!$AP$6,D13="",'Master Data'!$N$35=""),"",IF(AND(E13=""),"",IF('GA55 Check &amp; Edit'!D13='GA55 Check &amp; Edit'!$AT$9,'Master Data'!$N$35,""))),"")</f>
        <v/>
      </c>
      <c r="AB13" s="115">
        <f t="shared" si="4"/>
        <v>8608</v>
      </c>
      <c r="AC13" s="116">
        <f t="shared" si="5"/>
        <v>55907</v>
      </c>
      <c r="AD13" s="117"/>
      <c r="AE13" s="118"/>
      <c r="AF13" s="1"/>
      <c r="AG13" s="108"/>
      <c r="AH13" s="109"/>
      <c r="AI13" s="109"/>
      <c r="AJ13" s="109"/>
      <c r="AK13" s="109"/>
      <c r="AL13" s="109"/>
      <c r="AM13" s="54"/>
      <c r="AN13" s="54"/>
      <c r="AO13" s="54"/>
      <c r="AP13" s="54"/>
      <c r="AQ13" s="54"/>
      <c r="AR13" s="54"/>
      <c r="AS13" s="54" t="s">
        <v>69</v>
      </c>
      <c r="AT13" s="89">
        <v>45870.0</v>
      </c>
      <c r="AU13" s="54" t="s">
        <v>70</v>
      </c>
      <c r="AV13" s="55"/>
      <c r="AW13" s="125" t="s">
        <v>64</v>
      </c>
      <c r="AX13" s="89">
        <v>45748.0</v>
      </c>
      <c r="AY13" s="54">
        <v>4.0</v>
      </c>
      <c r="AZ13" s="54"/>
      <c r="BA13" s="55">
        <f>IF(AND('Master Data'!$N$25=""),"",IF(AND('Master Data'!$N$29='GA55 Check &amp; Edit'!$AP$6),'GA55 Check &amp; Edit'!$AZ$15,BU13))</f>
        <v>38000</v>
      </c>
      <c r="BB13" s="55">
        <f t="shared" si="7"/>
        <v>38000</v>
      </c>
      <c r="BC13" s="54">
        <f>IF(AND('Master Data'!$N$25=""),"",ROUND(55%*BA13,0))</f>
        <v>20900</v>
      </c>
      <c r="BD13" s="54">
        <f t="shared" si="8"/>
        <v>20900</v>
      </c>
      <c r="BE13" s="126">
        <f>IFERROR(IF(AND('Master Data'!$N$25=""),"",ROUND('Master Data'!$E$35%*BB13,0)),"")</f>
        <v>3800</v>
      </c>
      <c r="BF13" s="55" t="str">
        <f>#REF!</f>
        <v>#REF!</v>
      </c>
      <c r="BG13" s="55">
        <f>IFERROR(IF(OR('Master Data'!$I$29='GA55 Check &amp; Edit'!$AP$6),"",IF('Master Data'!$I$31="GPF-2004",IF(BB13&lt;18001,265,IF(BB13&lt;33501,440,IF(BB13&lt;54001,658,875))),IF(AND('Master Data'!$I$31="GPF",'Master Data'!$J$44=""),IF(BB13&lt;18001,265,IF(BB13&lt;33501,440,IF(BB13&lt;54001,658,875))),'Master Data'!$J$44))),"")</f>
        <v>658</v>
      </c>
      <c r="BH13" s="54" t="str">
        <f>IFERROR(IF(OR('Master Data'!$I$29='GA55 Check &amp; Edit'!$AP$6),"",'Master Data'!$G$44),"")</f>
        <v/>
      </c>
      <c r="BI13" s="127">
        <f>IFERROR(IF(OR('Master Data'!$I$29='GA55 Check &amp; Edit'!$AP$6),"",IF('Master Data'!$I$31="GPF-2004",IF(BB13&lt;23101,1450,IF(BB13&lt;28501,1625,IF(BB13&lt;38501,2100,IF(BB13&lt;51501,2850,IF(BB13&lt;62001,3575,IF(BB13&lt;72001,4200,IF(BB13&lt;80001,4800,IF(BB13&lt;116001,6150,IF(BB13&lt;167001,8900,10500))))))))),'Master Data'!$H$44)),"")</f>
        <v>2100</v>
      </c>
      <c r="BJ13" s="55">
        <f t="shared" si="9"/>
        <v>38000</v>
      </c>
      <c r="BK13" s="130">
        <v>45748.0</v>
      </c>
      <c r="BL13" s="130">
        <f>IFERROR(IF('Master Data'!$N$25="","",IF('Master Data'!$F$41="","",IF(AND($AZ$17&gt;$AZ$9),"",DATE(YEAR(BL12),MONTH(BL12)+1,DAY(BL12))))),"")</f>
        <v>45748</v>
      </c>
      <c r="BM13" s="130">
        <f>IFERROR(IF('Master Data'!$N$25="","",IF('Master Data'!$F$41="","",IF(AND($AZ$17&gt;$AZ$9),"",DATE(YEAR(BM12),MONTH(BM12)+1,DAY(BM12))))),"")</f>
        <v>45748</v>
      </c>
      <c r="BN13" s="130">
        <f t="shared" si="10"/>
        <v>45748</v>
      </c>
      <c r="BO13" s="130">
        <f t="shared" ref="BO13:BO30" si="14">IFERROR(IF(BM13="","",IF(AND(BL13=$BK$24),$BM$24,IF(AND(BL13=$BK$25),$BM$25,IF(AND(BL13=$BK$26),$BM$26,IF(AND(BL13=$BK$27),$BM$27,IF(AND(BL13=$BK$28),$BM$28,IF(AND(BL13=$BK$29),$BM$29,IF(AND(BL13=$BK$30),$BM$30,BN13)))))))),"")</f>
        <v>45748</v>
      </c>
      <c r="BP13" s="130"/>
      <c r="BQ13" s="130">
        <f t="shared" si="11"/>
        <v>45748</v>
      </c>
      <c r="BR13" s="130"/>
      <c r="BS13" s="55">
        <f t="shared" si="12"/>
        <v>47900</v>
      </c>
      <c r="BT13" s="55"/>
      <c r="BU13" s="55">
        <f>IF(AND('Master Data'!$N$25=""),"",IF(AND('Master Data'!$N$27='GA55 Check &amp; Edit'!AX13),'Master Data'!$N$31,BU12))</f>
        <v>38000</v>
      </c>
      <c r="BV13" s="54"/>
      <c r="BW13" s="54"/>
      <c r="BX13" s="55" t="str">
        <f t="shared" si="13"/>
        <v>#REF!</v>
      </c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109"/>
      <c r="CJ13" s="109"/>
      <c r="CK13" s="109"/>
      <c r="CL13" s="109"/>
      <c r="CM13" s="109"/>
      <c r="CN13" s="109"/>
      <c r="CO13" s="109"/>
      <c r="CP13" s="108"/>
      <c r="CQ13" s="108"/>
      <c r="CR13" s="108"/>
      <c r="CS13" s="108"/>
      <c r="CT13" s="108"/>
    </row>
    <row r="14" ht="21.0" customHeight="1">
      <c r="A14" s="1">
        <f t="shared" si="1"/>
        <v>1</v>
      </c>
      <c r="B14" s="96">
        <f t="shared" si="6"/>
        <v>7</v>
      </c>
      <c r="C14" s="110">
        <f t="shared" si="2"/>
        <v>7</v>
      </c>
      <c r="D14" s="111">
        <f t="shared" si="3"/>
        <v>45901</v>
      </c>
      <c r="E14" s="112">
        <f>IFERROR(IF(D14="","",IF(AND(BQ18=""),"",IF(AND('Master Data'!$I$29='GA55 Check &amp; Edit'!$AP$6),VLOOKUP(D14,ram,13,0),VLOOKUP(D14,ram,4,0)))),"")</f>
        <v>39100</v>
      </c>
      <c r="F14" s="113">
        <f>IFERROR(IF(D14="","",IF(D14=$AX$24,"",IF(AND(D14=$AX$28),"",IF(AND('Master Data'!$I$29='GA55 Check &amp; Edit'!$AP$5),VLOOKUP(D14,ram,7,0),"")))),"")</f>
        <v>21505</v>
      </c>
      <c r="G14" s="113">
        <f>IFERROR(IF(D14="","",IF(D14=$AX$24,"",IF(AND(D14=$AX$25),"",IF(AND(D14=$AX$26),"",IF(AND(D14=$AX$27),"",IF(AND(D14=$AX$28),"",IF(AND(D14=$AX$29),"",IF(AND('Master Data'!$I$29='GA55 Check &amp; Edit'!$AP$6),"",VLOOKUP(D14,ram,8,0))))))))),"")</f>
        <v>3910</v>
      </c>
      <c r="H14" s="113" t="str">
        <f>IFERROR(IF(D14="","",IF(AND(E14=""),"",IF(OR(D14=$AX$24,D14=$AX$25,D14=$AX$26,D14=$AX$27,D14=$AX$28,D14=$AX$29),"",IF(AND('Master Data'!$I$29='GA55 Check &amp; Edit'!$AP$5),'Master Data'!$B$44,"")))),"")</f>
        <v/>
      </c>
      <c r="I14" s="113" t="str">
        <f>IFERROR(IF(D14="","",IF(AND(E14=""),"",IF(OR(D14=$AX$24,D14=$AX$25,D14=$AX$26,D14=$AX$27,D14=$AX$28,D14=$AX$29),"",IF(AND('Master Data'!$I$29='GA55 Check &amp; Edit'!$AP$5,'Master Data'!$E$29='GA55 Check &amp; Edit'!$AO$5),'Master Data'!$E$31,"0")))),"")</f>
        <v>0</v>
      </c>
      <c r="J14" s="113" t="str">
        <f>IFERROR(IF(OR('Master Data'!$E$33=$AO$6,'Master Data'!$E$33=""),"",IF(D14="","",IF(AND(E14=""),"",IF(OR(D14=$AX$24,D14=$AX$25,D14=$AX$26,D14=$AX$27,D14=$AX$28,D14=$AX$29),"",IF(AND('Master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4" s="113" t="str">
        <f>IFERROR(IF(D14="","",IF(AND(E14=""),"",IF(OR(D14=$AX$24,D14=$AX$25,D14=$AX$26,D14=$AX$27,D14=$AX$28,D14=$AX$29),"",IF(AND('Master Data'!$I$29='GA55 Check &amp; Edit'!$AP$5),'Master Data'!$C$44,"")))),"")</f>
        <v/>
      </c>
      <c r="L14" s="113" t="str">
        <f>IFERROR(IF(D14="","",IF(AND(E14=""),"",IF(OR(D14=$AX$24,D14=$AX$25,D14=$AX$26,D14=$AX$27,D14=$AX$28,D14=$AX$29),"",IF(AND('Master Data'!$I$29='GA55 Check &amp; Edit'!$AP$6),"",'Master Data'!$D$44)))),"")</f>
        <v/>
      </c>
      <c r="M14" s="113" t="str">
        <f>IFERROR(IF(D14="","",IF(AND(E14=""),"",IF(OR(D14=$AX$24,D14=$AX$25,D14=$AX$26,D14=$AX$27,D14=$AX$28,D14=$AX$29),"",IF(AND('Master Data'!$I$29='GA55 Check &amp; Edit'!$AP$6),"",'Master Data'!$E$44)))),"")</f>
        <v/>
      </c>
      <c r="N14" s="113" t="str">
        <f>IFERROR(IF(D14="","",IF(AND('Master Data'!$I$29='GA55 Check &amp; Edit'!$AP$6),"",IF(AND('Master Data'!$I$25='GA55 Check &amp; Edit'!$AO$6),"0",IF(AND(D14="Bonus"),VLOOKUP(D14,ram,4,0),"")))),"")</f>
        <v>0</v>
      </c>
      <c r="O14" s="114">
        <f>IF(D14="","",IF('Master Data'!$N$25="","",SUM(E14:N14)))</f>
        <v>64515</v>
      </c>
      <c r="P14" s="103" t="str">
        <f>IFERROR(IF(OR('Master Data'!$I$29='GA55 Check &amp; Edit'!$AP$6,D14=""),"",IF(AND(D14=$AX$24),"",IF(AND(D14=$AX$25),"",IF(AND(D14=$AX$26),"",IF(AND(D14=$AX$27),"",IF(AND(D14=$AX$28),"",IF(AND(D14=$AX$29),"",IF(AND(E14=""),"",VLOOKUP(D14,ram,11,0))))))))),"")</f>
        <v/>
      </c>
      <c r="Q14" s="102">
        <f>IFERROR(IF(AND('Master Data'!$I$29='GA55 Check &amp; Edit'!$AP$6),"",IF(AND(D14=$AX$25),"",IF(AND(D14=$AX$28),"",IF(AND(D14=$AX$29),"",IF(AND(D14=""),"",IF(AND(BB18=""),"",VLOOKUP(D14,ram,12,0))))))),"")</f>
        <v>2850</v>
      </c>
      <c r="R14" s="103" t="str">
        <f>IFERROR(IF(OR('Master Data'!$I$29='GA55 Check &amp; Edit'!$AP$6,D14=""),"",IF(AND(D14=$AX$24),"",IF(AND(D14=$AX$25),"",IF(AND(D14=$AX$26),"",IF(AND(D14=$AX$27),"",IF(AND(D14=$AX$28),"",IF(AND(D14=$AX$29),"",IF(AND(E14=""),"",'Master Data'!$I$44)))))))),"")</f>
        <v/>
      </c>
      <c r="S14" s="103">
        <f>IFERROR(IF(OR('Master Data'!$I$29='GA55 Check &amp; Edit'!$AP$6),"",IF(D14="","",IF(E14="","",IF(AND(D14=$AX$24),"",IF(AND(D14=$AX$25),"",IF(AND(D14=$AX$26),"",IF(AND(D14=$AX$27),"",IF(AND(D14=$AX$28),"",IF(AND(D14=$AX$29),"",VLOOKUP(D14,ram,10,0)))))))))),"")</f>
        <v>658</v>
      </c>
      <c r="T14" s="103">
        <f>IFERROR(IF(OR('Master Data'!$I$29='GA55 Check &amp; Edit'!$AP$6,D14=""),"",IF(AND(D14=$AX$24),"",IF(AND(D14=$AX$25),"",IF(AND(D14=$AX$26),"",IF(AND(D14=$AX$27),"",IF(AND(D14=$AX$28),"",IF(AND(D14=$AX$29),"",IF(AND(E14=""),"",'Master Data'!$K$44)))))))),"")</f>
        <v>3000</v>
      </c>
      <c r="U14" s="103">
        <f>IFERROR(IF(OR('Master Data'!$I$29='GA55 Check &amp; Edit'!$AP$6,D14=""),"",IF(AND(D14=$AX$24),"",IF(AND(D14=$AX$25),"",IF(AND(D14=$AX$26),"",IF(AND(D14=$AX$27),"",IF(AND(D14=$AX$28),"",IF(AND(D14=$AX$29),"",IF(AND(E14=""),"",'Master Data'!$L$44)))))))),"")</f>
        <v>2100</v>
      </c>
      <c r="V14" s="103" t="str">
        <f>IFERROR(IF(OR('Master Data'!$I$29='GA55 Check &amp; Edit'!$AP$6,D14=""),"",IF(AND(D14=$AX$24),"",IF(AND(D14=$AX$25),"",IF(AND(D14=$AX$26),"",IF(AND(D14=$AX$27),"",IF(AND(D14=$AX$28),"",IF(AND(D14=$AX$29),"",IF(AND(E14=""),"",'Master Data'!$M$44)))))))),"")</f>
        <v/>
      </c>
      <c r="W14" s="103" t="str">
        <f>IFERROR(IF(OR('Master Data'!$I$29='GA55 Check &amp; Edit'!$AP$6,D14=""),"",IF(AND(D14=$AX$24),"",IF(AND(D14=$AX$25),"",IF(AND(D14=$AX$26),"",IF(AND(D14=$AX$27),"",IF(AND(D14=$AX$28),"",IF(AND(D14=$AX$29),"",IF(AND(E14=""),"",'Master Data'!$N$44)))))))),"")</f>
        <v/>
      </c>
      <c r="X14" s="103" t="str">
        <f>IFERROR(IF(OR('Master Data'!$I$29='GA55 Check &amp; Edit'!$AP$6,D14=""),"",IF(AND(E14=""),"",IF(AND('GA55 Check &amp; Edit'!D14='GA55 Check &amp; Edit'!$AT$17,'Master Data'!$D$18="Gazetted"),500,IF(AND('GA55 Check &amp; Edit'!D14='GA55 Check &amp; Edit'!$AT$17,'Master Data'!$D$18="Non-Gazetted"),250,"")))),"")</f>
        <v/>
      </c>
      <c r="Y14" s="103" t="str">
        <f>IFERROR(IF(D14="","",IF(AND(E14=""),"",IF(AND(D14=$AX$24),"",IF(AND(D14=$AX$25),"",IF(AND(D14=$AX$26),"",IF(AND(D14=$AX$27),"",IF(AND(D14=$AX$28),"",IF(AND(D14=$AX$29),"",IF(OR('Master Data'!$I$29='GA55 Check &amp; Edit'!$AP$6,D14=""),"",$Y$7))))))))),"")</f>
        <v/>
      </c>
      <c r="Z14" s="103" t="str">
        <f>IFERROR(IF(OR('Master Data'!$I$29='GA55 Check &amp; Edit'!$AP$6),"",IF(D14="","",IF(E14="","",VLOOKUP(D14,ram,9,0)))),"")</f>
        <v/>
      </c>
      <c r="AA14" s="103" t="str">
        <f>IFERROR(IF(OR('Master Data'!$I$29='GA55 Check &amp; Edit'!$AP$6,D14="",'Master Data'!$N$35=""),"",IF(AND(E14=""),"",IF('GA55 Check &amp; Edit'!D14='GA55 Check &amp; Edit'!$AT$9,'Master Data'!$N$35,""))),"")</f>
        <v/>
      </c>
      <c r="AB14" s="115">
        <f t="shared" si="4"/>
        <v>8608</v>
      </c>
      <c r="AC14" s="116">
        <f t="shared" si="5"/>
        <v>55907</v>
      </c>
      <c r="AD14" s="117"/>
      <c r="AE14" s="118"/>
      <c r="AF14" s="1"/>
      <c r="AG14" s="108"/>
      <c r="AH14" s="109"/>
      <c r="AI14" s="109"/>
      <c r="AJ14" s="109"/>
      <c r="AK14" s="109"/>
      <c r="AL14" s="109"/>
      <c r="AM14" s="54"/>
      <c r="AN14" s="54"/>
      <c r="AO14" s="54"/>
      <c r="AP14" s="54"/>
      <c r="AQ14" s="54"/>
      <c r="AR14" s="54"/>
      <c r="AS14" s="54" t="s">
        <v>71</v>
      </c>
      <c r="AT14" s="89">
        <v>45901.0</v>
      </c>
      <c r="AU14" s="54" t="s">
        <v>72</v>
      </c>
      <c r="AV14" s="54"/>
      <c r="AW14" s="125" t="s">
        <v>67</v>
      </c>
      <c r="AX14" s="89">
        <v>45778.0</v>
      </c>
      <c r="AY14" s="54">
        <v>5.0</v>
      </c>
      <c r="AZ14" s="54"/>
      <c r="BA14" s="55">
        <f>IF(AND('Master Data'!$N$25=""),"",IF(AND('Master Data'!$N$27='GA55 Check &amp; Edit'!$AP$6),'GA55 Check &amp; Edit'!$AZ$15,BU14))</f>
        <v>38000</v>
      </c>
      <c r="BB14" s="55">
        <f t="shared" si="7"/>
        <v>38000</v>
      </c>
      <c r="BC14" s="54">
        <f>IF(AND('Master Data'!$N$25=""),"",ROUND(55%*BA14,0))</f>
        <v>20900</v>
      </c>
      <c r="BD14" s="54">
        <f t="shared" si="8"/>
        <v>20900</v>
      </c>
      <c r="BE14" s="126">
        <f>IFERROR(IF(AND('Master Data'!$N$25=""),"",ROUND('Master Data'!$E$35%*BB14,0)),"")</f>
        <v>3800</v>
      </c>
      <c r="BF14" s="55" t="str">
        <f>'Master Data'!D48</f>
        <v/>
      </c>
      <c r="BG14" s="55">
        <f>IFERROR(IF(OR('Master Data'!$I$29='GA55 Check &amp; Edit'!$AP$6),"",IF('Master Data'!$I$31="GPF-2004",IF(BB14&lt;18001,265,IF(BB14&lt;33501,440,IF(BB14&lt;54001,658,875))),IF(AND('Master Data'!$I$31="GPF",'Master Data'!$J$44=""),IF(BB14&lt;18001,265,IF(BB14&lt;33501,440,IF(BB14&lt;54001,658,875))),'Master Data'!$J$44))),"")</f>
        <v>658</v>
      </c>
      <c r="BH14" s="54" t="str">
        <f>IFERROR(IF(OR('Master Data'!$I$29='GA55 Check &amp; Edit'!$AP$6),"",'Master Data'!$G$44),"")</f>
        <v/>
      </c>
      <c r="BI14" s="127">
        <f>IFERROR(IF(OR('Master Data'!$I$29='GA55 Check &amp; Edit'!$AP$6),"",IF('Master Data'!$I$31="GPF-2004",IF(BB14&lt;23101,1450,IF(BB14&lt;28501,1625,IF(BB14&lt;38501,2100,IF(BB14&lt;51501,2850,IF(BB14&lt;62001,3575,IF(BB14&lt;72001,4200,IF(BB14&lt;80001,4800,IF(BB14&lt;116001,6150,IF(BB14&lt;167001,8900,10500))))))))),'Master Data'!$H$44)),"")</f>
        <v>2100</v>
      </c>
      <c r="BJ14" s="55">
        <f t="shared" si="9"/>
        <v>38000</v>
      </c>
      <c r="BK14" s="130">
        <v>45778.0</v>
      </c>
      <c r="BL14" s="130">
        <f>IFERROR(IF('Master Data'!$N$25="","",IF('Master Data'!$F$41="","",IF(AND($AZ$17&gt;$AZ$9),"",DATE(YEAR(BL13),MONTH(BL13)+1,DAY(BL13))))),"")</f>
        <v>45778</v>
      </c>
      <c r="BM14" s="130">
        <f>IFERROR(IF('Master Data'!$N$25="","",IF('Master Data'!$F$41="","",IF(AND($AZ$17&gt;$AZ$9),"",DATE(YEAR(BM13),MONTH(BM13)+1,DAY(BM13))))),"")</f>
        <v>45778</v>
      </c>
      <c r="BN14" s="130">
        <f t="shared" si="10"/>
        <v>45778</v>
      </c>
      <c r="BO14" s="130">
        <f t="shared" si="14"/>
        <v>45778</v>
      </c>
      <c r="BP14" s="130"/>
      <c r="BQ14" s="130">
        <f t="shared" si="11"/>
        <v>45778</v>
      </c>
      <c r="BR14" s="130"/>
      <c r="BS14" s="55">
        <f t="shared" si="12"/>
        <v>39100</v>
      </c>
      <c r="BT14" s="55"/>
      <c r="BU14" s="55">
        <f>IF(AND('Master Data'!$N$25=""),"",IF(AND('Master Data'!$N$27='GA55 Check &amp; Edit'!AX14),'Master Data'!$N$31,BU13))</f>
        <v>38000</v>
      </c>
      <c r="BV14" s="54"/>
      <c r="BW14" s="54"/>
      <c r="BX14" s="55" t="str">
        <f t="shared" si="13"/>
        <v/>
      </c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109"/>
      <c r="CJ14" s="109"/>
      <c r="CK14" s="109"/>
      <c r="CL14" s="109"/>
      <c r="CM14" s="109"/>
      <c r="CN14" s="109"/>
      <c r="CO14" s="109"/>
      <c r="CP14" s="108"/>
      <c r="CQ14" s="108"/>
      <c r="CR14" s="108"/>
      <c r="CS14" s="108"/>
      <c r="CT14" s="108"/>
    </row>
    <row r="15" ht="21.0" customHeight="1">
      <c r="A15" s="1">
        <f t="shared" si="1"/>
        <v>0</v>
      </c>
      <c r="B15" s="96">
        <f t="shared" si="6"/>
        <v>8</v>
      </c>
      <c r="C15" s="110">
        <f t="shared" si="2"/>
        <v>8</v>
      </c>
      <c r="D15" s="111">
        <f t="shared" si="3"/>
        <v>45931</v>
      </c>
      <c r="E15" s="112">
        <f>IFERROR(IF(D15="","",IF(AND(BQ19=""),"",IF(AND('Master Data'!$I$29='GA55 Check &amp; Edit'!$AP$6),VLOOKUP(D15,ram,13,0),VLOOKUP(D15,ram,4,0)))),"")</f>
        <v>39100</v>
      </c>
      <c r="F15" s="113">
        <f>IFERROR(IF(D15="","",IF(D15=$AX$24,"",IF(AND(D15=$AX$28),"",IF(AND('Master Data'!$I$29='GA55 Check &amp; Edit'!$AP$5),VLOOKUP(D15,ram,7,0),"")))),"")</f>
        <v>22678</v>
      </c>
      <c r="G15" s="113">
        <f>IFERROR(IF(D15="","",IF(D15=$AX$24,"",IF(AND(D15=$AX$25),"",IF(AND(D15=$AX$26),"",IF(AND(D15=$AX$27),"",IF(AND(D15=$AX$28),"",IF(AND(D15=$AX$29),"",IF(AND('Master Data'!$I$29='GA55 Check &amp; Edit'!$AP$6),"",VLOOKUP(D15,ram,8,0))))))))),"")</f>
        <v>3910</v>
      </c>
      <c r="H15" s="113" t="str">
        <f>IFERROR(IF(D15="","",IF(AND(E15=""),"",IF(OR(D15=$AX$24,D15=$AX$25,D15=$AX$26,D15=$AX$27,D15=$AX$28,D15=$AX$29),"",IF(AND('Master Data'!$I$29='GA55 Check &amp; Edit'!$AP$5),'Master Data'!$B$44,"")))),"")</f>
        <v/>
      </c>
      <c r="I15" s="113" t="str">
        <f>IFERROR(IF(D15="","",IF(AND(E15=""),"",IF(OR(D15=$AX$24,D15=$AX$25,D15=$AX$26,D15=$AX$27,D15=$AX$28,D15=$AX$29),"",IF(AND('Master Data'!$I$29='GA55 Check &amp; Edit'!$AP$5,'Master Data'!$E$29='GA55 Check &amp; Edit'!$AO$5),'Master Data'!$E$31,"0")))),"")</f>
        <v>0</v>
      </c>
      <c r="J15" s="113" t="str">
        <f>IFERROR(IF(OR('Master Data'!$E$33=$AO$6,'Master Data'!$E$33=""),"",IF(D15="","",IF(AND(E15=""),"",IF(OR(D15=$AX$24,D15=$AX$25,D15=$AX$26,D15=$AX$27,D15=$AX$28,D15=$AX$29),"",IF(AND('Master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5" s="113" t="str">
        <f>IFERROR(IF(D15="","",IF(AND(E15=""),"",IF(OR(D15=$AX$24,D15=$AX$25,D15=$AX$26,D15=$AX$27,D15=$AX$28,D15=$AX$29),"",IF(AND('Master Data'!$I$29='GA55 Check &amp; Edit'!$AP$5),'Master Data'!$C$44,"")))),"")</f>
        <v/>
      </c>
      <c r="L15" s="113" t="str">
        <f>IFERROR(IF(D15="","",IF(AND(E15=""),"",IF(OR(D15=$AX$24,D15=$AX$25,D15=$AX$26,D15=$AX$27,D15=$AX$28,D15=$AX$29),"",IF(AND('Master Data'!$I$29='GA55 Check &amp; Edit'!$AP$6),"",'Master Data'!$D$44)))),"")</f>
        <v/>
      </c>
      <c r="M15" s="113" t="str">
        <f>IFERROR(IF(D15="","",IF(AND(E15=""),"",IF(OR(D15=$AX$24,D15=$AX$25,D15=$AX$26,D15=$AX$27,D15=$AX$28,D15=$AX$29),"",IF(AND('Master Data'!$I$29='GA55 Check &amp; Edit'!$AP$6),"",'Master Data'!$E$44)))),"")</f>
        <v/>
      </c>
      <c r="N15" s="113" t="str">
        <f>IFERROR(IF(D15="","",IF(AND('Master Data'!$I$29='GA55 Check &amp; Edit'!$AP$6),"",IF(AND('Master Data'!$I$25='GA55 Check &amp; Edit'!$AO$6),"0",IF(AND(D15="Bonus"),VLOOKUP(D15,ram,4,0),"")))),"")</f>
        <v>0</v>
      </c>
      <c r="O15" s="114">
        <f>IF(D15="","",IF('Master Data'!$N$25="","",SUM(E15:N15)))</f>
        <v>65688</v>
      </c>
      <c r="P15" s="103" t="str">
        <f>IFERROR(IF(OR('Master Data'!$I$29='GA55 Check &amp; Edit'!$AP$6,D15=""),"",IF(AND(D15=$AX$24),"",IF(AND(D15=$AX$25),"",IF(AND(D15=$AX$26),"",IF(AND(D15=$AX$27),"",IF(AND(D15=$AX$28),"",IF(AND(D15=$AX$29),"",IF(AND(E15=""),"",VLOOKUP(D15,ram,11,0))))))))),"")</f>
        <v/>
      </c>
      <c r="Q15" s="102">
        <f>IFERROR(IF(AND('Master Data'!$I$29='GA55 Check &amp; Edit'!$AP$6),"",IF(AND(D15=$AX$25),"",IF(AND(D15=$AX$28),"",IF(AND(D15=$AX$29),"",IF(AND(D15=""),"",IF(AND(BB19=""),"",VLOOKUP(D15,ram,12,0))))))),"")</f>
        <v>2850</v>
      </c>
      <c r="R15" s="103" t="str">
        <f>IFERROR(IF(OR('Master Data'!$I$29='GA55 Check &amp; Edit'!$AP$6,D15=""),"",IF(AND(D15=$AX$24),"",IF(AND(D15=$AX$25),"",IF(AND(D15=$AX$26),"",IF(AND(D15=$AX$27),"",IF(AND(D15=$AX$28),"",IF(AND(D15=$AX$29),"",IF(AND(E15=""),"",'Master Data'!$I$44)))))))),"")</f>
        <v/>
      </c>
      <c r="S15" s="103">
        <f>IFERROR(IF(OR('Master Data'!$I$29='GA55 Check &amp; Edit'!$AP$6),"",IF(D15="","",IF(E15="","",IF(AND(D15=$AX$24),"",IF(AND(D15=$AX$25),"",IF(AND(D15=$AX$26),"",IF(AND(D15=$AX$27),"",IF(AND(D15=$AX$28),"",IF(AND(D15=$AX$29),"",VLOOKUP(D15,ram,10,0)))))))))),"")</f>
        <v>658</v>
      </c>
      <c r="T15" s="103">
        <f>IFERROR(IF(OR('Master Data'!$I$29='GA55 Check &amp; Edit'!$AP$6,D15=""),"",IF(AND(D15=$AX$24),"",IF(AND(D15=$AX$25),"",IF(AND(D15=$AX$26),"",IF(AND(D15=$AX$27),"",IF(AND(D15=$AX$28),"",IF(AND(D15=$AX$29),"",IF(AND(E15=""),"",'Master Data'!$K$44)))))))),"")</f>
        <v>3000</v>
      </c>
      <c r="U15" s="103">
        <f>IFERROR(IF(OR('Master Data'!$I$29='GA55 Check &amp; Edit'!$AP$6,D15=""),"",IF(AND(D15=$AX$24),"",IF(AND(D15=$AX$25),"",IF(AND(D15=$AX$26),"",IF(AND(D15=$AX$27),"",IF(AND(D15=$AX$28),"",IF(AND(D15=$AX$29),"",IF(AND(E15=""),"",'Master Data'!$L$44)))))))),"")</f>
        <v>2100</v>
      </c>
      <c r="V15" s="103" t="str">
        <f>IFERROR(IF(OR('Master Data'!$I$29='GA55 Check &amp; Edit'!$AP$6,D15=""),"",IF(AND(D15=$AX$24),"",IF(AND(D15=$AX$25),"",IF(AND(D15=$AX$26),"",IF(AND(D15=$AX$27),"",IF(AND(D15=$AX$28),"",IF(AND(D15=$AX$29),"",IF(AND(E15=""),"",'Master Data'!$M$44)))))))),"")</f>
        <v/>
      </c>
      <c r="W15" s="103" t="str">
        <f>IFERROR(IF(OR('Master Data'!$I$29='GA55 Check &amp; Edit'!$AP$6,D15=""),"",IF(AND(D15=$AX$24),"",IF(AND(D15=$AX$25),"",IF(AND(D15=$AX$26),"",IF(AND(D15=$AX$27),"",IF(AND(D15=$AX$28),"",IF(AND(D15=$AX$29),"",IF(AND(E15=""),"",'Master Data'!$N$44)))))))),"")</f>
        <v/>
      </c>
      <c r="X15" s="103" t="str">
        <f>IFERROR(IF(OR('Master Data'!$I$29='GA55 Check &amp; Edit'!$AP$6,D15=""),"",IF(AND(E15=""),"",IF(AND('GA55 Check &amp; Edit'!D15='GA55 Check &amp; Edit'!$AT$17,'Master Data'!$D$18="Gazetted"),500,IF(AND('GA55 Check &amp; Edit'!D15='GA55 Check &amp; Edit'!$AT$17,'Master Data'!$D$18="Non-Gazetted"),250,"")))),"")</f>
        <v/>
      </c>
      <c r="Y15" s="103" t="str">
        <f>IFERROR(IF(D15="","",IF(AND(E15=""),"",IF(AND(D15=$AX$24),"",IF(AND(D15=$AX$25),"",IF(AND(D15=$AX$26),"",IF(AND(D15=$AX$27),"",IF(AND(D15=$AX$28),"",IF(AND(D15=$AX$29),"",IF(OR('Master Data'!$I$29='GA55 Check &amp; Edit'!$AP$6,D15=""),"",$Y$7))))))))),"")</f>
        <v/>
      </c>
      <c r="Z15" s="103" t="str">
        <f>IFERROR(IF(OR('Master Data'!$I$29='GA55 Check &amp; Edit'!$AP$6),"",IF(D15="","",IF(E15="","",VLOOKUP(D15,ram,9,0)))),"")</f>
        <v/>
      </c>
      <c r="AA15" s="103" t="str">
        <f>IFERROR(IF(OR('Master Data'!$I$29='GA55 Check &amp; Edit'!$AP$6,D15="",'Master Data'!$N$35=""),"",IF(AND(E15=""),"",IF('GA55 Check &amp; Edit'!D15='GA55 Check &amp; Edit'!$AT$9,'Master Data'!$N$35,""))),"")</f>
        <v/>
      </c>
      <c r="AB15" s="115">
        <f t="shared" si="4"/>
        <v>8608</v>
      </c>
      <c r="AC15" s="116">
        <f t="shared" si="5"/>
        <v>57080</v>
      </c>
      <c r="AD15" s="117"/>
      <c r="AE15" s="118"/>
      <c r="AF15" s="1"/>
      <c r="AG15" s="108"/>
      <c r="AH15" s="109"/>
      <c r="AI15" s="109"/>
      <c r="AJ15" s="109"/>
      <c r="AK15" s="109"/>
      <c r="AL15" s="109"/>
      <c r="AM15" s="54"/>
      <c r="AN15" s="54"/>
      <c r="AO15" s="54"/>
      <c r="AP15" s="54"/>
      <c r="AQ15" s="54"/>
      <c r="AR15" s="54"/>
      <c r="AS15" s="54" t="s">
        <v>73</v>
      </c>
      <c r="AT15" s="89">
        <v>45931.0</v>
      </c>
      <c r="AU15" s="54" t="s">
        <v>74</v>
      </c>
      <c r="AV15" s="54"/>
      <c r="AW15" s="125" t="s">
        <v>69</v>
      </c>
      <c r="AX15" s="89">
        <v>45809.0</v>
      </c>
      <c r="AY15" s="54">
        <v>6.0</v>
      </c>
      <c r="AZ15" s="55">
        <f>IF(AND('Master Data'!N25=""),"",'Master Data'!N25)</f>
        <v>38000</v>
      </c>
      <c r="BA15" s="55">
        <f>IF(AND('Master Data'!$N$25=""),"",IF(AND('Master Data'!$N$27='GA55 Check &amp; Edit'!$AP$6),'GA55 Check &amp; Edit'!$AZ$15,BU15))</f>
        <v>38000</v>
      </c>
      <c r="BB15" s="55">
        <f t="shared" si="7"/>
        <v>38000</v>
      </c>
      <c r="BC15" s="54">
        <f>IF(AND('Master Data'!$N$25=""),"",ROUND(55%*BA15,0))</f>
        <v>20900</v>
      </c>
      <c r="BD15" s="54">
        <f t="shared" si="8"/>
        <v>20900</v>
      </c>
      <c r="BE15" s="126">
        <f>IFERROR(IF(AND('Master Data'!$N$25=""),"",ROUND('Master Data'!$E$35%*BB15,0)),"")</f>
        <v>3800</v>
      </c>
      <c r="BF15" s="55" t="str">
        <f>'Master Data'!E48</f>
        <v/>
      </c>
      <c r="BG15" s="55">
        <f>IFERROR(IF(OR('Master Data'!$I$29='GA55 Check &amp; Edit'!$AP$6),"",IF('Master Data'!$I$31="GPF-2004",IF(BB15&lt;18001,265,IF(BB15&lt;33501,440,IF(BB15&lt;54001,658,875))),IF(AND('Master Data'!$I$31="GPF",'Master Data'!$J$44=""),IF(BB15&lt;18001,265,IF(BB15&lt;33501,440,IF(BB15&lt;54001,658,875))),'Master Data'!$J$44))),"")</f>
        <v>658</v>
      </c>
      <c r="BH15" s="54" t="str">
        <f>IFERROR(IF(OR('Master Data'!$I$29='GA55 Check &amp; Edit'!$AP$6),"",'Master Data'!$G$44),"")</f>
        <v/>
      </c>
      <c r="BI15" s="127">
        <f>IFERROR(IF(OR('Master Data'!$I$29='GA55 Check &amp; Edit'!$AP$6),"",IF('Master Data'!$I$31="GPF-2004",IF(BB15&lt;23101,1450,IF(BB15&lt;28501,1625,IF(BB15&lt;38501,2100,IF(BB15&lt;51501,2850,IF(BB15&lt;62001,3575,IF(BB15&lt;72001,4200,IF(BB15&lt;80001,4800,IF(BB15&lt;116001,6150,IF(BB15&lt;167001,8900,10500))))))))),'Master Data'!$H$44)),"")</f>
        <v>2100</v>
      </c>
      <c r="BJ15" s="55">
        <f t="shared" si="9"/>
        <v>38000</v>
      </c>
      <c r="BK15" s="130">
        <v>45809.0</v>
      </c>
      <c r="BL15" s="130">
        <f>IFERROR(IF('Master Data'!$N$25="","",IF('Master Data'!$F$41="","",IF(AND($AZ$17&gt;$AZ$9),"",DATE(YEAR(BL14),MONTH(BL14)+1,DAY(BL14))))),"")</f>
        <v>45809</v>
      </c>
      <c r="BM15" s="130">
        <f>IFERROR(IF('Master Data'!$N$25="","",IF('Master Data'!$F$41="","",IF(AND($AZ$17&gt;$AZ$9),"",DATE(YEAR(BM14),MONTH(BM14)+1,DAY(BM14))))),"")</f>
        <v>45809</v>
      </c>
      <c r="BN15" s="130">
        <f t="shared" si="10"/>
        <v>45809</v>
      </c>
      <c r="BO15" s="130">
        <f t="shared" si="14"/>
        <v>45809</v>
      </c>
      <c r="BP15" s="130"/>
      <c r="BQ15" s="130">
        <f t="shared" si="11"/>
        <v>45809</v>
      </c>
      <c r="BR15" s="130"/>
      <c r="BS15" s="55">
        <f t="shared" si="12"/>
        <v>39100</v>
      </c>
      <c r="BT15" s="55"/>
      <c r="BU15" s="55">
        <f>IF(AND('Master Data'!$N$25=""),"",IF(AND('Master Data'!$N$27='GA55 Check &amp; Edit'!AX15),'Master Data'!$N$31,BU14))</f>
        <v>38000</v>
      </c>
      <c r="BV15" s="54"/>
      <c r="BW15" s="54"/>
      <c r="BX15" s="55" t="str">
        <f t="shared" si="13"/>
        <v/>
      </c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109"/>
      <c r="CJ15" s="109"/>
      <c r="CK15" s="109"/>
      <c r="CL15" s="109"/>
      <c r="CM15" s="109"/>
      <c r="CN15" s="109"/>
      <c r="CO15" s="109"/>
      <c r="CP15" s="108"/>
      <c r="CQ15" s="108"/>
      <c r="CR15" s="108"/>
      <c r="CS15" s="108"/>
      <c r="CT15" s="108"/>
    </row>
    <row r="16" ht="21.0" customHeight="1">
      <c r="A16" s="1">
        <f t="shared" si="1"/>
        <v>1</v>
      </c>
      <c r="B16" s="96">
        <f t="shared" si="6"/>
        <v>9</v>
      </c>
      <c r="C16" s="110">
        <f t="shared" si="2"/>
        <v>9</v>
      </c>
      <c r="D16" s="111">
        <f t="shared" si="3"/>
        <v>45962</v>
      </c>
      <c r="E16" s="112">
        <f>IFERROR(IF(D16="","",IF(AND(BQ20=""),"",IF(AND('Master Data'!$I$29='GA55 Check &amp; Edit'!$AP$6),VLOOKUP(D16,ram,13,0),VLOOKUP(D16,ram,4,0)))),"")</f>
        <v>39100</v>
      </c>
      <c r="F16" s="113">
        <f>IFERROR(IF(D16="","",IF(D16=$AX$24,"",IF(AND(D16=$AX$28),"",IF(AND('Master Data'!$I$29='GA55 Check &amp; Edit'!$AP$5),VLOOKUP(D16,ram,7,0),"")))),"")</f>
        <v>22678</v>
      </c>
      <c r="G16" s="113">
        <f>IFERROR(IF(D16="","",IF(D16=$AX$24,"",IF(AND(D16=$AX$25),"",IF(AND(D16=$AX$26),"",IF(AND(D16=$AX$27),"",IF(AND(D16=$AX$28),"",IF(AND(D16=$AX$29),"",IF(AND('Master Data'!$I$29='GA55 Check &amp; Edit'!$AP$6),"",VLOOKUP(D16,ram,8,0))))))))),"")</f>
        <v>3910</v>
      </c>
      <c r="H16" s="113" t="str">
        <f>IFERROR(IF(D16="","",IF(AND(E16=""),"",IF(OR(D16=$AX$24,D16=$AX$25,D16=$AX$26,D16=$AX$27,D16=$AX$28,D16=$AX$29),"",IF(AND('Master Data'!$I$29='GA55 Check &amp; Edit'!$AP$5),'Master Data'!$B$44,"")))),"")</f>
        <v/>
      </c>
      <c r="I16" s="113" t="str">
        <f>IFERROR(IF(D16="","",IF(AND(E16=""),"",IF(OR(D16=$AX$24,D16=$AX$25,D16=$AX$26,D16=$AX$27,D16=$AX$28,D16=$AX$29),"",IF(AND('Master Data'!$I$29='GA55 Check &amp; Edit'!$AP$5,'Master Data'!$E$29='GA55 Check &amp; Edit'!$AO$5),'Master Data'!$E$31,"0")))),"")</f>
        <v>0</v>
      </c>
      <c r="J16" s="113" t="str">
        <f>IFERROR(IF(OR('Master Data'!$E$33=$AO$6,'Master Data'!$E$33=""),"",IF(D16="","",IF(AND(E16=""),"",IF(OR(D16=$AX$24,D16=$AX$25,D16=$AX$26,D16=$AX$27,D16=$AX$28,D16=$AX$29),"",IF(AND('Master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6" s="113" t="str">
        <f>IFERROR(IF(D16="","",IF(AND(E16=""),"",IF(OR(D16=$AX$24,D16=$AX$25,D16=$AX$26,D16=$AX$27,D16=$AX$28,D16=$AX$29),"",IF(AND('Master Data'!$I$29='GA55 Check &amp; Edit'!$AP$5),'Master Data'!$C$44,"")))),"")</f>
        <v/>
      </c>
      <c r="L16" s="113" t="str">
        <f>IFERROR(IF(D16="","",IF(AND(E16=""),"",IF(OR(D16=$AX$24,D16=$AX$25,D16=$AX$26,D16=$AX$27,D16=$AX$28,D16=$AX$29),"",IF(AND('Master Data'!$I$29='GA55 Check &amp; Edit'!$AP$6),"",'Master Data'!$D$44)))),"")</f>
        <v/>
      </c>
      <c r="M16" s="113" t="str">
        <f>IFERROR(IF(D16="","",IF(AND(E16=""),"",IF(OR(D16=$AX$24,D16=$AX$25,D16=$AX$26,D16=$AX$27,D16=$AX$28,D16=$AX$29),"",IF(AND('Master Data'!$I$29='GA55 Check &amp; Edit'!$AP$6),"",'Master Data'!$E$44)))),"")</f>
        <v/>
      </c>
      <c r="N16" s="113" t="str">
        <f>IFERROR(IF(D16="","",IF(AND('Master Data'!$I$29='GA55 Check &amp; Edit'!$AP$6),"",IF(AND('Master Data'!$I$25='GA55 Check &amp; Edit'!$AO$6),"0",IF(AND(D16="Bonus"),VLOOKUP(D16,ram,4,0),"")))),"")</f>
        <v>0</v>
      </c>
      <c r="O16" s="114">
        <f>IF(D16="","",IF('Master Data'!$N$25="","",SUM(E16:N16)))</f>
        <v>65688</v>
      </c>
      <c r="P16" s="103" t="str">
        <f>IFERROR(IF(OR('Master Data'!$I$29='GA55 Check &amp; Edit'!$AP$6,D16=""),"",IF(AND(D16=$AX$24),"",IF(AND(D16=$AX$25),"",IF(AND(D16=$AX$26),"",IF(AND(D16=$AX$27),"",IF(AND(D16=$AX$28),"",IF(AND(D16=$AX$29),"",IF(AND(E16=""),"",VLOOKUP(D16,ram,11,0))))))))),"")</f>
        <v/>
      </c>
      <c r="Q16" s="102">
        <f>IFERROR(IF(AND('Master Data'!$I$29='GA55 Check &amp; Edit'!$AP$6),"",IF(AND(D16=$AX$25),"",IF(AND(D16=$AX$28),"",IF(AND(D16=$AX$29),"",IF(AND(D16=""),"",IF(AND(BB20=""),"",VLOOKUP(D16,ram,12,0))))))),"")</f>
        <v>2850</v>
      </c>
      <c r="R16" s="103" t="str">
        <f>IFERROR(IF(OR('Master Data'!$I$29='GA55 Check &amp; Edit'!$AP$6,D16=""),"",IF(AND(D16=$AX$24),"",IF(AND(D16=$AX$25),"",IF(AND(D16=$AX$26),"",IF(AND(D16=$AX$27),"",IF(AND(D16=$AX$28),"",IF(AND(D16=$AX$29),"",IF(AND(E16=""),"",'Master Data'!$I$44)))))))),"")</f>
        <v/>
      </c>
      <c r="S16" s="103">
        <f>IFERROR(IF(OR('Master Data'!$I$29='GA55 Check &amp; Edit'!$AP$6),"",IF(D16="","",IF(E16="","",IF(AND(D16=$AX$24),"",IF(AND(D16=$AX$25),"",IF(AND(D16=$AX$26),"",IF(AND(D16=$AX$27),"",IF(AND(D16=$AX$28),"",IF(AND(D16=$AX$29),"",VLOOKUP(D16,ram,10,0)))))))))),"")</f>
        <v>658</v>
      </c>
      <c r="T16" s="103">
        <f>IFERROR(IF(OR('Master Data'!$I$29='GA55 Check &amp; Edit'!$AP$6,D16=""),"",IF(AND(D16=$AX$24),"",IF(AND(D16=$AX$25),"",IF(AND(D16=$AX$26),"",IF(AND(D16=$AX$27),"",IF(AND(D16=$AX$28),"",IF(AND(D16=$AX$29),"",IF(AND(E16=""),"",'Master Data'!$K$44)))))))),"")</f>
        <v>3000</v>
      </c>
      <c r="U16" s="103">
        <f>IFERROR(IF(OR('Master Data'!$I$29='GA55 Check &amp; Edit'!$AP$6,D16=""),"",IF(AND(D16=$AX$24),"",IF(AND(D16=$AX$25),"",IF(AND(D16=$AX$26),"",IF(AND(D16=$AX$27),"",IF(AND(D16=$AX$28),"",IF(AND(D16=$AX$29),"",IF(AND(E16=""),"",'Master Data'!$L$44)))))))),"")</f>
        <v>2100</v>
      </c>
      <c r="V16" s="103" t="str">
        <f>IFERROR(IF(OR('Master Data'!$I$29='GA55 Check &amp; Edit'!$AP$6,D16=""),"",IF(AND(D16=$AX$24),"",IF(AND(D16=$AX$25),"",IF(AND(D16=$AX$26),"",IF(AND(D16=$AX$27),"",IF(AND(D16=$AX$28),"",IF(AND(D16=$AX$29),"",IF(AND(E16=""),"",'Master Data'!$M$44)))))))),"")</f>
        <v/>
      </c>
      <c r="W16" s="103" t="str">
        <f>IFERROR(IF(OR('Master Data'!$I$29='GA55 Check &amp; Edit'!$AP$6,D16=""),"",IF(AND(D16=$AX$24),"",IF(AND(D16=$AX$25),"",IF(AND(D16=$AX$26),"",IF(AND(D16=$AX$27),"",IF(AND(D16=$AX$28),"",IF(AND(D16=$AX$29),"",IF(AND(E16=""),"",'Master Data'!$N$44)))))))),"")</f>
        <v/>
      </c>
      <c r="X16" s="103" t="str">
        <f>IFERROR(IF(OR('Master Data'!$I$29='GA55 Check &amp; Edit'!$AP$6,D16=""),"",IF(AND(E16=""),"",IF(AND('GA55 Check &amp; Edit'!D16='GA55 Check &amp; Edit'!$AT$17,'Master Data'!$D$18="Gazetted"),500,IF(AND('GA55 Check &amp; Edit'!D16='GA55 Check &amp; Edit'!$AT$17,'Master Data'!$D$18="Non-Gazetted"),250,"")))),"")</f>
        <v/>
      </c>
      <c r="Y16" s="103" t="str">
        <f>IFERROR(IF(D16="","",IF(AND(E16=""),"",IF(AND(D16=$AX$24),"",IF(AND(D16=$AX$25),"",IF(AND(D16=$AX$26),"",IF(AND(D16=$AX$27),"",IF(AND(D16=$AX$28),"",IF(AND(D16=$AX$29),"",IF(OR('Master Data'!$I$29='GA55 Check &amp; Edit'!$AP$6,D16=""),"",$Y$7))))))))),"")</f>
        <v/>
      </c>
      <c r="Z16" s="103">
        <f>IFERROR(IF(OR('Master Data'!$I$29='GA55 Check &amp; Edit'!$AP$6),"",IF(D16="","",IF(E16="","",VLOOKUP(D16,ram,9,0)))),"")</f>
        <v>0</v>
      </c>
      <c r="AA16" s="103" t="str">
        <f>IFERROR(IF(OR('Master Data'!$I$29='GA55 Check &amp; Edit'!$AP$6,D16="",'Master Data'!$N$35=""),"",IF(AND(E16=""),"",IF('GA55 Check &amp; Edit'!D16='GA55 Check &amp; Edit'!$AT$9,'Master Data'!$N$35,""))),"")</f>
        <v/>
      </c>
      <c r="AB16" s="115">
        <f t="shared" si="4"/>
        <v>8608</v>
      </c>
      <c r="AC16" s="116">
        <f t="shared" si="5"/>
        <v>57080</v>
      </c>
      <c r="AD16" s="117"/>
      <c r="AE16" s="118"/>
      <c r="AF16" s="1"/>
      <c r="AG16" s="108"/>
      <c r="AH16" s="109"/>
      <c r="AI16" s="109"/>
      <c r="AJ16" s="109"/>
      <c r="AK16" s="109"/>
      <c r="AL16" s="109"/>
      <c r="AM16" s="54"/>
      <c r="AN16" s="54"/>
      <c r="AO16" s="54"/>
      <c r="AP16" s="54"/>
      <c r="AQ16" s="54"/>
      <c r="AR16" s="54"/>
      <c r="AS16" s="54" t="s">
        <v>75</v>
      </c>
      <c r="AT16" s="89">
        <v>45962.0</v>
      </c>
      <c r="AU16" s="54" t="s">
        <v>76</v>
      </c>
      <c r="AV16" s="54"/>
      <c r="AW16" s="125" t="s">
        <v>71</v>
      </c>
      <c r="AX16" s="89">
        <v>45839.0</v>
      </c>
      <c r="AY16" s="54">
        <v>7.0</v>
      </c>
      <c r="AZ16" s="128">
        <f>IF(AND('Master Data'!F41=""),"",'Master Data'!F41)</f>
        <v>45717</v>
      </c>
      <c r="BA16" s="55">
        <f>IF(AND('Master Data'!$N$25=""),"",IF(AND('Master Data'!$N$27='GA55 Check &amp; Edit'!$AP$6),'GA55 Check &amp; Edit'!$AZ$15,BU16))</f>
        <v>39100</v>
      </c>
      <c r="BB16" s="55">
        <f t="shared" si="7"/>
        <v>39100</v>
      </c>
      <c r="BC16" s="54">
        <f>IF(AND('Master Data'!$N$25=""),"",ROUND(55%*BA16,0))</f>
        <v>21505</v>
      </c>
      <c r="BD16" s="54">
        <f t="shared" si="8"/>
        <v>21505</v>
      </c>
      <c r="BE16" s="126">
        <f>IFERROR(IF(AND('Master Data'!$N$25=""),"",ROUND('Master Data'!$E$35%*BB16,0)),"")</f>
        <v>3910</v>
      </c>
      <c r="BF16" s="55" t="str">
        <f>'Master Data'!F48</f>
        <v/>
      </c>
      <c r="BG16" s="55">
        <f>IFERROR(IF(OR('Master Data'!$I$29='GA55 Check &amp; Edit'!$AP$6),"",IF('Master Data'!$I$31="GPF-2004",IF(BB16&lt;18001,265,IF(BB16&lt;33501,440,IF(BB16&lt;54001,658,875))),IF(AND('Master Data'!$I$31="GPF",'Master Data'!$J$44=""),IF(BB16&lt;18001,265,IF(BB16&lt;33501,440,IF(BB16&lt;54001,658,875))),'Master Data'!$J$44))),"")</f>
        <v>658</v>
      </c>
      <c r="BH16" s="54" t="str">
        <f>IFERROR(IF(OR('Master Data'!$I$29='GA55 Check &amp; Edit'!$AP$6),"",'Master Data'!$G$44),"")</f>
        <v/>
      </c>
      <c r="BI16" s="127">
        <f>IFERROR(IF(OR('Master Data'!$I$29='GA55 Check &amp; Edit'!$AP$6),"",IF('Master Data'!$I$31="GPF-2004",IF(BB16&lt;23101,1450,IF(BB16&lt;28501,1625,IF(BB16&lt;38501,2100,IF(BB16&lt;51501,2850,IF(BB16&lt;62001,3575,IF(BB16&lt;72001,4200,IF(BB16&lt;80001,4800,IF(BB16&lt;116001,6150,IF(BB16&lt;167001,8900,10500))))))))),'Master Data'!$H$44)),"")</f>
        <v>2850</v>
      </c>
      <c r="BJ16" s="55">
        <f t="shared" si="9"/>
        <v>39100</v>
      </c>
      <c r="BK16" s="130">
        <v>45839.0</v>
      </c>
      <c r="BL16" s="130">
        <f>IFERROR(IF('Master Data'!$N$25="","",IF('Master Data'!$F$41="","",IF(AND($AZ$17&gt;$AZ$9),"",DATE(YEAR(BL15),MONTH(BL15)+1,DAY(BL15))))),"")</f>
        <v>45839</v>
      </c>
      <c r="BM16" s="130">
        <f>IFERROR(IF('Master Data'!$N$25="","",IF('Master Data'!$F$41="","",IF(AND($AZ$17&gt;$AZ$9),"",DATE(YEAR(BM15),MONTH(BM15)+1,DAY(BM15))))),"")</f>
        <v>45839</v>
      </c>
      <c r="BN16" s="130">
        <f t="shared" si="10"/>
        <v>45839</v>
      </c>
      <c r="BO16" s="130">
        <f t="shared" si="14"/>
        <v>45839</v>
      </c>
      <c r="BP16" s="130"/>
      <c r="BQ16" s="130">
        <f t="shared" si="11"/>
        <v>45839</v>
      </c>
      <c r="BR16" s="130"/>
      <c r="BS16" s="55">
        <f t="shared" si="12"/>
        <v>39100</v>
      </c>
      <c r="BT16" s="55"/>
      <c r="BU16" s="55">
        <f>IF(AND('Master Data'!$N$25=""),"",IF(AND('Master Data'!$N$27='GA55 Check &amp; Edit'!AX16),'Master Data'!$N$31,MROUND(BU15*1.03,100)))</f>
        <v>39100</v>
      </c>
      <c r="BV16" s="54"/>
      <c r="BW16" s="54"/>
      <c r="BX16" s="55" t="str">
        <f t="shared" si="13"/>
        <v/>
      </c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109"/>
      <c r="CJ16" s="109"/>
      <c r="CK16" s="109"/>
      <c r="CL16" s="109"/>
      <c r="CM16" s="109"/>
      <c r="CN16" s="109"/>
      <c r="CO16" s="109"/>
      <c r="CP16" s="108"/>
      <c r="CQ16" s="108"/>
      <c r="CR16" s="108"/>
      <c r="CS16" s="108"/>
      <c r="CT16" s="108"/>
    </row>
    <row r="17" ht="21.0" customHeight="1">
      <c r="A17" s="1">
        <f t="shared" si="1"/>
        <v>0</v>
      </c>
      <c r="B17" s="96">
        <f t="shared" si="6"/>
        <v>10</v>
      </c>
      <c r="C17" s="110">
        <f t="shared" si="2"/>
        <v>10</v>
      </c>
      <c r="D17" s="111">
        <f t="shared" si="3"/>
        <v>45992</v>
      </c>
      <c r="E17" s="112">
        <f>IFERROR(IF(D17="","",IF(AND(BQ21=""),"",IF(AND('Master Data'!$I$29='GA55 Check &amp; Edit'!$AP$6),VLOOKUP(D17,ram,13,0),VLOOKUP(D17,ram,4,0)))),"")</f>
        <v>39100</v>
      </c>
      <c r="F17" s="113">
        <f>IFERROR(IF(D17="","",IF(D17=$AX$24,"",IF(AND(D17=$AX$28),"",IF(AND('Master Data'!$I$29='GA55 Check &amp; Edit'!$AP$5),VLOOKUP(D17,ram,7,0),"")))),"")</f>
        <v>22678</v>
      </c>
      <c r="G17" s="113">
        <f>IFERROR(IF(D17="","",IF(D17=$AX$24,"",IF(AND(D17=$AX$25),"",IF(AND(D17=$AX$26),"",IF(AND(D17=$AX$27),"",IF(AND(D17=$AX$28),"",IF(AND(D17=$AX$29),"",IF(AND('Master Data'!$I$29='GA55 Check &amp; Edit'!$AP$6),"",VLOOKUP(D17,ram,8,0))))))))),"")</f>
        <v>3910</v>
      </c>
      <c r="H17" s="113" t="str">
        <f>IFERROR(IF(D17="","",IF(AND(E17=""),"",IF(OR(D17=$AX$24,D17=$AX$25,D17=$AX$26,D17=$AX$27,D17=$AX$28,D17=$AX$29),"",IF(AND('Master Data'!$I$29='GA55 Check &amp; Edit'!$AP$5),'Master Data'!$B$44,"")))),"")</f>
        <v/>
      </c>
      <c r="I17" s="113" t="str">
        <f>IFERROR(IF(D17="","",IF(AND(E17=""),"",IF(OR(D17=$AX$24,D17=$AX$25,D17=$AX$26,D17=$AX$27,D17=$AX$28,D17=$AX$29),"",IF(AND('Master Data'!$I$29='GA55 Check &amp; Edit'!$AP$5,'Master Data'!$E$29='GA55 Check &amp; Edit'!$AO$5),'Master Data'!$E$31,"0")))),"")</f>
        <v>0</v>
      </c>
      <c r="J17" s="113" t="str">
        <f>IFERROR(IF(OR('Master Data'!$E$33=$AO$6,'Master Data'!$E$33=""),"",IF(D17="","",IF(AND(E17=""),"",IF(OR(D17=$AX$24,D17=$AX$25,D17=$AX$26,D17=$AX$27,D17=$AX$28,D17=$AX$29),"",IF(AND('Master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7" s="113" t="str">
        <f>IFERROR(IF(D17="","",IF(AND(E17=""),"",IF(OR(D17=$AX$24,D17=$AX$25,D17=$AX$26,D17=$AX$27,D17=$AX$28,D17=$AX$29),"",IF(AND('Master Data'!$I$29='GA55 Check &amp; Edit'!$AP$5),'Master Data'!$C$44,"")))),"")</f>
        <v/>
      </c>
      <c r="L17" s="113" t="str">
        <f>IFERROR(IF(D17="","",IF(AND(E17=""),"",IF(OR(D17=$AX$24,D17=$AX$25,D17=$AX$26,D17=$AX$27,D17=$AX$28,D17=$AX$29),"",IF(AND('Master Data'!$I$29='GA55 Check &amp; Edit'!$AP$6),"",'Master Data'!$D$44)))),"")</f>
        <v/>
      </c>
      <c r="M17" s="113" t="str">
        <f>IFERROR(IF(D17="","",IF(AND(E17=""),"",IF(OR(D17=$AX$24,D17=$AX$25,D17=$AX$26,D17=$AX$27,D17=$AX$28,D17=$AX$29),"",IF(AND('Master Data'!$I$29='GA55 Check &amp; Edit'!$AP$6),"",'Master Data'!$E$44)))),"")</f>
        <v/>
      </c>
      <c r="N17" s="113" t="str">
        <f>IFERROR(IF(D17="","",IF(AND('Master Data'!$I$29='GA55 Check &amp; Edit'!$AP$6),"",IF(AND('Master Data'!$I$25='GA55 Check &amp; Edit'!$AO$6),"0",IF(AND(D17="Bonus"),VLOOKUP(D17,ram,4,0),"")))),"")</f>
        <v>0</v>
      </c>
      <c r="O17" s="114">
        <f>IF(D17="","",IF('Master Data'!$N$25="","",SUM(E17:N17)))</f>
        <v>65688</v>
      </c>
      <c r="P17" s="103" t="str">
        <f>IFERROR(IF(OR('Master Data'!$I$29='GA55 Check &amp; Edit'!$AP$6,D17=""),"",IF(AND(D17=$AX$24),"",IF(AND(D17=$AX$25),"",IF(AND(D17=$AX$26),"",IF(AND(D17=$AX$27),"",IF(AND(D17=$AX$28),"",IF(AND(D17=$AX$29),"",IF(AND(E17=""),"",VLOOKUP(D17,ram,11,0))))))))),"")</f>
        <v/>
      </c>
      <c r="Q17" s="102">
        <f>IFERROR(IF(AND('Master Data'!$I$29='GA55 Check &amp; Edit'!$AP$6),"",IF(AND(D17=$AX$25),"",IF(AND(D17=$AX$28),"",IF(AND(D17=$AX$29),"",IF(AND(D17=""),"",IF(AND(BB21=""),"",VLOOKUP(D17,ram,12,0))))))),"")</f>
        <v>2850</v>
      </c>
      <c r="R17" s="103" t="str">
        <f>IFERROR(IF(OR('Master Data'!$I$29='GA55 Check &amp; Edit'!$AP$6,D17=""),"",IF(AND(D17=$AX$24),"",IF(AND(D17=$AX$25),"",IF(AND(D17=$AX$26),"",IF(AND(D17=$AX$27),"",IF(AND(D17=$AX$28),"",IF(AND(D17=$AX$29),"",IF(AND(E17=""),"",'Master Data'!$I$44)))))))),"")</f>
        <v/>
      </c>
      <c r="S17" s="103">
        <f>IFERROR(IF(OR('Master Data'!$I$29='GA55 Check &amp; Edit'!$AP$6),"",IF(D17="","",IF(E17="","",IF(AND(D17=$AX$24),"",IF(AND(D17=$AX$25),"",IF(AND(D17=$AX$26),"",IF(AND(D17=$AX$27),"",IF(AND(D17=$AX$28),"",IF(AND(D17=$AX$29),"",VLOOKUP(D17,ram,10,0)))))))))),"")</f>
        <v>658</v>
      </c>
      <c r="T17" s="103">
        <f>IFERROR(IF(OR('Master Data'!$I$29='GA55 Check &amp; Edit'!$AP$6,D17=""),"",IF(AND(D17=$AX$24),"",IF(AND(D17=$AX$25),"",IF(AND(D17=$AX$26),"",IF(AND(D17=$AX$27),"",IF(AND(D17=$AX$28),"",IF(AND(D17=$AX$29),"",IF(AND(E17=""),"",'Master Data'!$K$44)))))))),"")</f>
        <v>3000</v>
      </c>
      <c r="U17" s="103">
        <f>IFERROR(IF(OR('Master Data'!$I$29='GA55 Check &amp; Edit'!$AP$6,D17=""),"",IF(AND(D17=$AX$24),"",IF(AND(D17=$AX$25),"",IF(AND(D17=$AX$26),"",IF(AND(D17=$AX$27),"",IF(AND(D17=$AX$28),"",IF(AND(D17=$AX$29),"",IF(AND(E17=""),"",'Master Data'!$L$44)))))))),"")</f>
        <v>2100</v>
      </c>
      <c r="V17" s="103" t="str">
        <f>IFERROR(IF(OR('Master Data'!$I$29='GA55 Check &amp; Edit'!$AP$6,D17=""),"",IF(AND(D17=$AX$24),"",IF(AND(D17=$AX$25),"",IF(AND(D17=$AX$26),"",IF(AND(D17=$AX$27),"",IF(AND(D17=$AX$28),"",IF(AND(D17=$AX$29),"",IF(AND(E17=""),"",'Master Data'!$M$44)))))))),"")</f>
        <v/>
      </c>
      <c r="W17" s="103" t="str">
        <f>IFERROR(IF(OR('Master Data'!$I$29='GA55 Check &amp; Edit'!$AP$6,D17=""),"",IF(AND(D17=$AX$24),"",IF(AND(D17=$AX$25),"",IF(AND(D17=$AX$26),"",IF(AND(D17=$AX$27),"",IF(AND(D17=$AX$28),"",IF(AND(D17=$AX$29),"",IF(AND(E17=""),"",'Master Data'!$N$44)))))))),"")</f>
        <v/>
      </c>
      <c r="X17" s="103">
        <f>IFERROR(IF(OR('Master Data'!$I$29='GA55 Check &amp; Edit'!$AP$6,D17=""),"",IF(AND(E17=""),"",IF(AND('GA55 Check &amp; Edit'!D17='GA55 Check &amp; Edit'!$AT$17,'Master Data'!$D$18="Gazetted"),500,IF(AND('GA55 Check &amp; Edit'!D17='GA55 Check &amp; Edit'!$AT$17,'Master Data'!$D$18="Non-Gazetted"),250,"")))),"")</f>
        <v>250</v>
      </c>
      <c r="Y17" s="103" t="str">
        <f>IFERROR(IF(D17="","",IF(AND(E17=""),"",IF(AND(D17=$AX$24),"",IF(AND(D17=$AX$25),"",IF(AND(D17=$AX$26),"",IF(AND(D17=$AX$27),"",IF(AND(D17=$AX$28),"",IF(AND(D17=$AX$29),"",IF(OR('Master Data'!$I$29='GA55 Check &amp; Edit'!$AP$6,D17=""),"",$Y$7))))))))),"")</f>
        <v/>
      </c>
      <c r="Z17" s="103">
        <f>IFERROR(IF(OR('Master Data'!$I$29='GA55 Check &amp; Edit'!$AP$6),"",IF(D17="","",IF(E17="","",VLOOKUP(D17,ram,9,0)))),"")</f>
        <v>0</v>
      </c>
      <c r="AA17" s="103" t="str">
        <f>IFERROR(IF(OR('Master Data'!$I$29='GA55 Check &amp; Edit'!$AP$6,D17="",'Master Data'!$N$35=""),"",IF(AND(E17=""),"",IF('GA55 Check &amp; Edit'!D17='GA55 Check &amp; Edit'!$AT$9,'Master Data'!$N$35,""))),"")</f>
        <v/>
      </c>
      <c r="AB17" s="115">
        <f t="shared" si="4"/>
        <v>8858</v>
      </c>
      <c r="AC17" s="116">
        <f t="shared" si="5"/>
        <v>56830</v>
      </c>
      <c r="AD17" s="117"/>
      <c r="AE17" s="118"/>
      <c r="AF17" s="1"/>
      <c r="AG17" s="108"/>
      <c r="AH17" s="109"/>
      <c r="AI17" s="109"/>
      <c r="AJ17" s="109"/>
      <c r="AK17" s="109"/>
      <c r="AL17" s="109"/>
      <c r="AM17" s="54"/>
      <c r="AN17" s="54"/>
      <c r="AO17" s="54"/>
      <c r="AP17" s="54"/>
      <c r="AQ17" s="54"/>
      <c r="AR17" s="54"/>
      <c r="AS17" s="54" t="s">
        <v>77</v>
      </c>
      <c r="AT17" s="89">
        <v>45992.0</v>
      </c>
      <c r="AU17" s="54" t="s">
        <v>78</v>
      </c>
      <c r="AV17" s="54"/>
      <c r="AW17" s="125" t="s">
        <v>73</v>
      </c>
      <c r="AX17" s="89">
        <v>45870.0</v>
      </c>
      <c r="AY17" s="54">
        <v>8.0</v>
      </c>
      <c r="AZ17" s="128">
        <f>IF(AND('Master Data'!H41=""),"",'Master Data'!H41)</f>
        <v>46054</v>
      </c>
      <c r="BA17" s="55">
        <f>IF(AND('Master Data'!$N$25=""),"",IF(AND('Master Data'!$N$27='GA55 Check &amp; Edit'!$AP$6),'GA55 Check &amp; Edit'!$AZ$15,BU17))</f>
        <v>39100</v>
      </c>
      <c r="BB17" s="55">
        <f t="shared" si="7"/>
        <v>39100</v>
      </c>
      <c r="BC17" s="54">
        <f>IF(AND('Master Data'!$N$25=""),"",ROUND(55%*BA17,0))</f>
        <v>21505</v>
      </c>
      <c r="BD17" s="54">
        <f t="shared" si="8"/>
        <v>21505</v>
      </c>
      <c r="BE17" s="126">
        <f>IFERROR(IF(AND('Master Data'!$N$25=""),"",ROUND('Master Data'!$E$35%*BB17,0)),"")</f>
        <v>3910</v>
      </c>
      <c r="BF17" s="55" t="str">
        <f>'Master Data'!G48</f>
        <v/>
      </c>
      <c r="BG17" s="55">
        <f>IFERROR(IF(OR('Master Data'!$I$29='GA55 Check &amp; Edit'!$AP$6),"",IF('Master Data'!$I$31="GPF-2004",IF(BB17&lt;18001,265,IF(BB17&lt;33501,440,IF(BB17&lt;54001,658,875))),IF(AND('Master Data'!$I$31="GPF",'Master Data'!$J$44=""),IF(BB17&lt;18001,265,IF(BB17&lt;33501,440,IF(BB17&lt;54001,658,875))),'Master Data'!$J$44))),"")</f>
        <v>658</v>
      </c>
      <c r="BH17" s="54" t="str">
        <f>IFERROR(IF(OR('Master Data'!$I$29='GA55 Check &amp; Edit'!$AP$6),"",'Master Data'!$G$44),"")</f>
        <v/>
      </c>
      <c r="BI17" s="127">
        <f>IFERROR(IF(OR('Master Data'!$I$29='GA55 Check &amp; Edit'!$AP$6),"",IF('Master Data'!$I$31="GPF-2004",IF(BB17&lt;23101,1450,IF(BB17&lt;28501,1625,IF(BB17&lt;38501,2100,IF(BB17&lt;51501,2850,IF(BB17&lt;62001,3575,IF(BB17&lt;72001,4200,IF(BB17&lt;80001,4800,IF(BB17&lt;116001,6150,IF(BB17&lt;167001,8900,10500))))))))),'Master Data'!$H$44)),"")</f>
        <v>2850</v>
      </c>
      <c r="BJ17" s="55">
        <f t="shared" ref="BJ17:BJ23" si="15">BJ16</f>
        <v>39100</v>
      </c>
      <c r="BK17" s="130">
        <v>45870.0</v>
      </c>
      <c r="BL17" s="130">
        <f>IFERROR(IF('Master Data'!$N$25="","",IF('Master Data'!$F$41="","",IF(AND($AZ$17&gt;$AZ$9),"",DATE(YEAR(BL16),MONTH(BL16)+1,DAY(BL16))))),"")</f>
        <v>45870</v>
      </c>
      <c r="BM17" s="130">
        <f>IFERROR(IF('Master Data'!$N$25="","",IF('Master Data'!$F$41="","",IF(AND($AZ$17&gt;$AZ$9),"",DATE(YEAR(BM16),MONTH(BM16)+1,DAY(BM16))))),"")</f>
        <v>45870</v>
      </c>
      <c r="BN17" s="130">
        <f t="shared" si="10"/>
        <v>45870</v>
      </c>
      <c r="BO17" s="130">
        <f t="shared" si="14"/>
        <v>45870</v>
      </c>
      <c r="BP17" s="130"/>
      <c r="BQ17" s="130">
        <f t="shared" si="11"/>
        <v>45870</v>
      </c>
      <c r="BR17" s="130"/>
      <c r="BS17" s="55">
        <f t="shared" si="12"/>
        <v>39100</v>
      </c>
      <c r="BT17" s="55"/>
      <c r="BU17" s="55">
        <f>IF(AND('Master Data'!$N$25=""),"",IF(AND('Master Data'!$N$27='GA55 Check &amp; Edit'!AX17),'Master Data'!$N$31,BU16))</f>
        <v>39100</v>
      </c>
      <c r="BV17" s="54"/>
      <c r="BW17" s="54"/>
      <c r="BX17" s="55" t="str">
        <f t="shared" si="13"/>
        <v/>
      </c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109"/>
      <c r="CJ17" s="109"/>
      <c r="CK17" s="109"/>
      <c r="CL17" s="109"/>
      <c r="CM17" s="109"/>
      <c r="CN17" s="109"/>
      <c r="CO17" s="109"/>
      <c r="CP17" s="108"/>
      <c r="CQ17" s="108"/>
      <c r="CR17" s="108"/>
      <c r="CS17" s="108"/>
      <c r="CT17" s="108"/>
    </row>
    <row r="18" ht="21.0" customHeight="1">
      <c r="A18" s="1">
        <f t="shared" si="1"/>
        <v>1</v>
      </c>
      <c r="B18" s="96">
        <f t="shared" si="6"/>
        <v>11</v>
      </c>
      <c r="C18" s="110">
        <f t="shared" si="2"/>
        <v>11</v>
      </c>
      <c r="D18" s="111">
        <f t="shared" si="3"/>
        <v>46023</v>
      </c>
      <c r="E18" s="112">
        <f>IFERROR(IF(D18="","",IF(AND(BQ22=""),"",IF(AND('Master Data'!$I$29='GA55 Check &amp; Edit'!$AP$6),VLOOKUP(D18,ram,13,0),VLOOKUP(D18,ram,4,0)))),"")</f>
        <v>39100</v>
      </c>
      <c r="F18" s="113">
        <f>IFERROR(IF(D18="","",IF(D18=$AX$24,"",IF(AND(D18=$AX$28),"",IF(AND('Master Data'!$I$29='GA55 Check &amp; Edit'!$AP$5),VLOOKUP(D18,ram,7,0),"")))),"")</f>
        <v>22678</v>
      </c>
      <c r="G18" s="113">
        <f>IFERROR(IF(D18="","",IF(D18=$AX$24,"",IF(AND(D18=$AX$25),"",IF(AND(D18=$AX$26),"",IF(AND(D18=$AX$27),"",IF(AND(D18=$AX$28),"",IF(AND(D18=$AX$29),"",IF(AND('Master Data'!$I$29='GA55 Check &amp; Edit'!$AP$6),"",VLOOKUP(D18,ram,8,0))))))))),"")</f>
        <v>3910</v>
      </c>
      <c r="H18" s="113" t="str">
        <f>IFERROR(IF(D18="","",IF(AND(E18=""),"",IF(OR(D18=$AX$24,D18=$AX$25,D18=$AX$26,D18=$AX$27,D18=$AX$28,D18=$AX$29),"",IF(AND('Master Data'!$I$29='GA55 Check &amp; Edit'!$AP$5),'Master Data'!$B$44,"")))),"")</f>
        <v/>
      </c>
      <c r="I18" s="113" t="str">
        <f>IFERROR(IF(D18="","",IF(AND(E18=""),"",IF(OR(D18=$AX$24,D18=$AX$25,D18=$AX$26,D18=$AX$27,D18=$AX$28,D18=$AX$29),"",IF(AND('Master Data'!$I$29='GA55 Check &amp; Edit'!$AP$5,'Master Data'!$E$29='GA55 Check &amp; Edit'!$AO$5),'Master Data'!$E$31,"0")))),"")</f>
        <v>0</v>
      </c>
      <c r="J18" s="113" t="str">
        <f>IFERROR(IF(OR('Master Data'!$E$33=$AO$6,'Master Data'!$E$33=""),"",IF(D18="","",IF(AND(E18=""),"",IF(OR(D18=$AX$24,D18=$AX$25,D18=$AX$26,D18=$AX$27,D18=$AX$28,D18=$AX$29),"",IF(AND('Master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8" s="113" t="str">
        <f>IFERROR(IF(D18="","",IF(AND(E18=""),"",IF(OR(D18=$AX$24,D18=$AX$25,D18=$AX$26,D18=$AX$27,D18=$AX$28,D18=$AX$29),"",IF(AND('Master Data'!$I$29='GA55 Check &amp; Edit'!$AP$5),'Master Data'!$C$44,"")))),"")</f>
        <v/>
      </c>
      <c r="L18" s="113" t="str">
        <f>IFERROR(IF(D18="","",IF(AND(E18=""),"",IF(OR(D18=$AX$24,D18=$AX$25,D18=$AX$26,D18=$AX$27,D18=$AX$28,D18=$AX$29),"",IF(AND('Master Data'!$I$29='GA55 Check &amp; Edit'!$AP$6),"",'Master Data'!$D$44)))),"")</f>
        <v/>
      </c>
      <c r="M18" s="113" t="str">
        <f>IFERROR(IF(D18="","",IF(AND(E18=""),"",IF(OR(D18=$AX$24,D18=$AX$25,D18=$AX$26,D18=$AX$27,D18=$AX$28,D18=$AX$29),"",IF(AND('Master Data'!$I$29='GA55 Check &amp; Edit'!$AP$6),"",'Master Data'!$E$44)))),"")</f>
        <v/>
      </c>
      <c r="N18" s="113" t="str">
        <f>IFERROR(IF(D18="","",IF(AND('Master Data'!$I$29='GA55 Check &amp; Edit'!$AP$6),"",IF(AND('Master Data'!$I$25='GA55 Check &amp; Edit'!$AO$6),"0",IF(AND(D18="Bonus"),VLOOKUP(D18,ram,4,0),"")))),"")</f>
        <v>0</v>
      </c>
      <c r="O18" s="114">
        <f>IF(D18="","",IF('Master Data'!$N$25="","",SUM(E18:N18)))</f>
        <v>65688</v>
      </c>
      <c r="P18" s="103" t="str">
        <f>IFERROR(IF(OR('Master Data'!$I$29='GA55 Check &amp; Edit'!$AP$6,D18=""),"",IF(AND(D18=$AX$24),"",IF(AND(D18=$AX$25),"",IF(AND(D18=$AX$26),"",IF(AND(D18=$AX$27),"",IF(AND(D18=$AX$28),"",IF(AND(D18=$AX$29),"",IF(AND(E18=""),"",VLOOKUP(D18,ram,11,0))))))))),"")</f>
        <v/>
      </c>
      <c r="Q18" s="102">
        <f>IFERROR(IF(AND('Master Data'!$I$29='GA55 Check &amp; Edit'!$AP$6),"",IF(AND(D18=$AX$25),"",IF(AND(D18=$AX$28),"",IF(AND(D18=$AX$29),"",IF(AND(D18=""),"",IF(AND(BB22=""),"",VLOOKUP(D18,ram,12,0))))))),"")</f>
        <v>2850</v>
      </c>
      <c r="R18" s="103" t="str">
        <f>IFERROR(IF(OR('Master Data'!$I$29='GA55 Check &amp; Edit'!$AP$6,D18=""),"",IF(AND(D18=$AX$24),"",IF(AND(D18=$AX$25),"",IF(AND(D18=$AX$26),"",IF(AND(D18=$AX$27),"",IF(AND(D18=$AX$28),"",IF(AND(D18=$AX$29),"",IF(AND(E18=""),"",'Master Data'!$I$44)))))))),"")</f>
        <v/>
      </c>
      <c r="S18" s="103">
        <f>IFERROR(IF(OR('Master Data'!$I$29='GA55 Check &amp; Edit'!$AP$6),"",IF(D18="","",IF(E18="","",IF(AND(D18=$AX$24),"",IF(AND(D18=$AX$25),"",IF(AND(D18=$AX$26),"",IF(AND(D18=$AX$27),"",IF(AND(D18=$AX$28),"",IF(AND(D18=$AX$29),"",VLOOKUP(D18,ram,10,0)))))))))),"")</f>
        <v>658</v>
      </c>
      <c r="T18" s="103">
        <f>IFERROR(IF(OR('Master Data'!$I$29='GA55 Check &amp; Edit'!$AP$6,D18=""),"",IF(AND(D18=$AX$24),"",IF(AND(D18=$AX$25),"",IF(AND(D18=$AX$26),"",IF(AND(D18=$AX$27),"",IF(AND(D18=$AX$28),"",IF(AND(D18=$AX$29),"",IF(AND(E18=""),"",'Master Data'!$K$44)))))))),"")</f>
        <v>3000</v>
      </c>
      <c r="U18" s="103">
        <f>IFERROR(IF(OR('Master Data'!$I$29='GA55 Check &amp; Edit'!$AP$6,D18=""),"",IF(AND(D18=$AX$24),"",IF(AND(D18=$AX$25),"",IF(AND(D18=$AX$26),"",IF(AND(D18=$AX$27),"",IF(AND(D18=$AX$28),"",IF(AND(D18=$AX$29),"",IF(AND(E18=""),"",'Master Data'!$L$44)))))))),"")</f>
        <v>2100</v>
      </c>
      <c r="V18" s="103" t="str">
        <f>IFERROR(IF(OR('Master Data'!$I$29='GA55 Check &amp; Edit'!$AP$6,D18=""),"",IF(AND(D18=$AX$24),"",IF(AND(D18=$AX$25),"",IF(AND(D18=$AX$26),"",IF(AND(D18=$AX$27),"",IF(AND(D18=$AX$28),"",IF(AND(D18=$AX$29),"",IF(AND(E18=""),"",'Master Data'!$M$44)))))))),"")</f>
        <v/>
      </c>
      <c r="W18" s="103" t="str">
        <f>IFERROR(IF(OR('Master Data'!$I$29='GA55 Check &amp; Edit'!$AP$6,D18=""),"",IF(AND(D18=$AX$24),"",IF(AND(D18=$AX$25),"",IF(AND(D18=$AX$26),"",IF(AND(D18=$AX$27),"",IF(AND(D18=$AX$28),"",IF(AND(D18=$AX$29),"",IF(AND(E18=""),"",'Master Data'!$N$44)))))))),"")</f>
        <v/>
      </c>
      <c r="X18" s="103" t="str">
        <f>IFERROR(IF(OR('Master Data'!$I$29='GA55 Check &amp; Edit'!$AP$6,D18=""),"",IF(AND(E18=""),"",IF(AND('GA55 Check &amp; Edit'!D18='GA55 Check &amp; Edit'!$AT$17,'Master Data'!$D$18="Gazetted"),500,IF(AND('GA55 Check &amp; Edit'!D18='GA55 Check &amp; Edit'!$AT$17,'Master Data'!$D$18="Non-Gazetted"),250,"")))),"")</f>
        <v/>
      </c>
      <c r="Y18" s="103" t="str">
        <f>IFERROR(IF(D18="","",IF(AND(E18=""),"",IF(AND(D18=$AX$24),"",IF(AND(D18=$AX$25),"",IF(AND(D18=$AX$26),"",IF(AND(D18=$AX$27),"",IF(AND(D18=$AX$28),"",IF(AND(D18=$AX$29),"",IF(OR('Master Data'!$I$29='GA55 Check &amp; Edit'!$AP$6,D18=""),"",$Y$7))))))))),"")</f>
        <v/>
      </c>
      <c r="Z18" s="103">
        <f>IFERROR(IF(OR('Master Data'!$I$29='GA55 Check &amp; Edit'!$AP$6),"",IF(D18="","",IF(E18="","",VLOOKUP(D18,ram,9,0)))),"")</f>
        <v>0</v>
      </c>
      <c r="AA18" s="103" t="str">
        <f>IFERROR(IF(OR('Master Data'!$I$29='GA55 Check &amp; Edit'!$AP$6,D18="",'Master Data'!$N$35=""),"",IF(AND(E18=""),"",IF('GA55 Check &amp; Edit'!D18='GA55 Check &amp; Edit'!$AT$9,'Master Data'!$N$35,""))),"")</f>
        <v/>
      </c>
      <c r="AB18" s="115">
        <f t="shared" si="4"/>
        <v>8608</v>
      </c>
      <c r="AC18" s="116">
        <f t="shared" si="5"/>
        <v>57080</v>
      </c>
      <c r="AD18" s="117"/>
      <c r="AE18" s="118"/>
      <c r="AF18" s="1"/>
      <c r="AG18" s="108"/>
      <c r="AH18" s="109"/>
      <c r="AI18" s="109"/>
      <c r="AJ18" s="109"/>
      <c r="AK18" s="109"/>
      <c r="AL18" s="109"/>
      <c r="AM18" s="54"/>
      <c r="AN18" s="54"/>
      <c r="AO18" s="54"/>
      <c r="AP18" s="54"/>
      <c r="AQ18" s="54"/>
      <c r="AR18" s="54"/>
      <c r="AS18" s="54" t="s">
        <v>79</v>
      </c>
      <c r="AT18" s="89">
        <v>46023.0</v>
      </c>
      <c r="AU18" s="54" t="s">
        <v>80</v>
      </c>
      <c r="AV18" s="54"/>
      <c r="AW18" s="125" t="s">
        <v>75</v>
      </c>
      <c r="AX18" s="89">
        <v>45901.0</v>
      </c>
      <c r="AY18" s="54">
        <v>9.0</v>
      </c>
      <c r="AZ18" s="54">
        <f>IF(OR('Master Data'!N27="",'Master Data'!N31=""),MROUND(AZ15*1.03,100),IF('Master Data'!N27&lt;'GA55 Check &amp; Edit'!AX16,MROUND('Master Data'!N31*1.03,100),MROUND(AZ15*1.03,100)))</f>
        <v>39100</v>
      </c>
      <c r="BA18" s="55">
        <f>IF(AND('Master Data'!$N$25=""),"",IF(AND('Master Data'!$N$27='GA55 Check &amp; Edit'!$AP$6),'GA55 Check &amp; Edit'!$AZ$15,BU18))</f>
        <v>39100</v>
      </c>
      <c r="BB18" s="55">
        <f t="shared" si="7"/>
        <v>39100</v>
      </c>
      <c r="BC18" s="54">
        <f>IF(AND('Master Data'!$N$25=""),"",ROUND(55%*BA18,0))</f>
        <v>21505</v>
      </c>
      <c r="BD18" s="54">
        <f t="shared" si="8"/>
        <v>21505</v>
      </c>
      <c r="BE18" s="126">
        <f>IFERROR(IF(AND('Master Data'!$N$25=""),"",ROUND('Master Data'!$E$35%*BB18,0)),"")</f>
        <v>3910</v>
      </c>
      <c r="BF18" s="55" t="str">
        <f>'Master Data'!H48</f>
        <v/>
      </c>
      <c r="BG18" s="55">
        <f>IFERROR(IF(OR('Master Data'!$I$29='GA55 Check &amp; Edit'!$AP$6),"",IF('Master Data'!$I$31="GPF-2004",IF(BB18&lt;18001,265,IF(BB18&lt;33501,440,IF(BB18&lt;54001,658,875))),IF(AND('Master Data'!$I$31="GPF",'Master Data'!$J$44=""),IF(BB18&lt;18001,265,IF(BB18&lt;33501,440,IF(BB18&lt;54001,658,875))),'Master Data'!$J$44))),"")</f>
        <v>658</v>
      </c>
      <c r="BH18" s="54" t="str">
        <f>IFERROR(IF(OR('Master Data'!$I$29='GA55 Check &amp; Edit'!$AP$6),"",'Master Data'!$G$44),"")</f>
        <v/>
      </c>
      <c r="BI18" s="127">
        <f>IFERROR(IF(OR('Master Data'!$I$29='GA55 Check &amp; Edit'!$AP$6),"",IF('Master Data'!$I$31="GPF-2004",IF(BB18&lt;23101,1450,IF(BB18&lt;28501,1625,IF(BB18&lt;38501,2100,IF(BB18&lt;51501,2850,IF(BB18&lt;62001,3575,IF(BB18&lt;72001,4200,IF(BB18&lt;80001,4800,IF(BB18&lt;116001,6150,IF(BB18&lt;167001,8900,10500))))))))),'Master Data'!$H$44)),"")</f>
        <v>2850</v>
      </c>
      <c r="BJ18" s="55">
        <f t="shared" si="15"/>
        <v>39100</v>
      </c>
      <c r="BK18" s="130">
        <v>45901.0</v>
      </c>
      <c r="BL18" s="130">
        <f>IFERROR(IF('Master Data'!$N$25="","",IF('Master Data'!$F$41="","",IF(AND($AZ$17&gt;$AZ$9),"",DATE(YEAR(BL17),MONTH(BL17)+1,DAY(BL17))))),"")</f>
        <v>45901</v>
      </c>
      <c r="BM18" s="130">
        <f>IFERROR(IF('Master Data'!$N$25="","",IF('Master Data'!$F$41="","",IF(AND($AZ$17&gt;$AZ$9),"",DATE(YEAR(BM17),MONTH(BM17)+1,DAY(BM17))))),"")</f>
        <v>45901</v>
      </c>
      <c r="BN18" s="130">
        <f t="shared" si="10"/>
        <v>45901</v>
      </c>
      <c r="BO18" s="130">
        <f t="shared" si="14"/>
        <v>45901</v>
      </c>
      <c r="BP18" s="130"/>
      <c r="BQ18" s="130">
        <f t="shared" si="11"/>
        <v>45901</v>
      </c>
      <c r="BR18" s="130"/>
      <c r="BS18" s="55" t="str">
        <f t="shared" si="12"/>
        <v/>
      </c>
      <c r="BT18" s="55"/>
      <c r="BU18" s="55">
        <f>IF(AND('Master Data'!$N$25=""),"",IF(AND('Master Data'!$N$27='GA55 Check &amp; Edit'!AX18),'Master Data'!$N$31,BU17))</f>
        <v>39100</v>
      </c>
      <c r="BV18" s="130"/>
      <c r="BW18" s="54"/>
      <c r="BX18" s="55" t="str">
        <f t="shared" si="13"/>
        <v/>
      </c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109"/>
      <c r="CJ18" s="109"/>
      <c r="CK18" s="109"/>
      <c r="CL18" s="109"/>
      <c r="CM18" s="109"/>
      <c r="CN18" s="109"/>
      <c r="CO18" s="109"/>
      <c r="CP18" s="108"/>
      <c r="CQ18" s="108"/>
      <c r="CR18" s="108"/>
      <c r="CS18" s="108"/>
      <c r="CT18" s="108"/>
    </row>
    <row r="19" ht="21.0" customHeight="1">
      <c r="A19" s="1">
        <f t="shared" si="1"/>
        <v>0</v>
      </c>
      <c r="B19" s="96">
        <f t="shared" si="6"/>
        <v>12</v>
      </c>
      <c r="C19" s="110">
        <f t="shared" si="2"/>
        <v>12</v>
      </c>
      <c r="D19" s="111">
        <f t="shared" si="3"/>
        <v>46054</v>
      </c>
      <c r="E19" s="112">
        <f>IFERROR(IF(D19="","",IF(AND(BQ23=""),"",IF(AND('Master Data'!$I$29='GA55 Check &amp; Edit'!$AP$6),VLOOKUP(D19,ram,13,0),VLOOKUP(D19,ram,4,0)))),"")</f>
        <v>39100</v>
      </c>
      <c r="F19" s="113">
        <f>IFERROR(IF(D19="","",IF(D19=$AX$24,"",IF(AND(D19=$AX$28),"",IF(AND('Master Data'!$I$29='GA55 Check &amp; Edit'!$AP$5),VLOOKUP(D19,ram,7,0),"")))),"")</f>
        <v>22678</v>
      </c>
      <c r="G19" s="113">
        <f>IFERROR(IF(D19="","",IF(D19=$AX$24,"",IF(AND(D19=$AX$25),"",IF(AND(D19=$AX$26),"",IF(AND(D19=$AX$27),"",IF(AND(D19=$AX$28),"",IF(AND(D19=$AX$29),"",IF(AND('Master Data'!$I$29='GA55 Check &amp; Edit'!$AP$6),"",VLOOKUP(D19,ram,8,0))))))))),"")</f>
        <v>3910</v>
      </c>
      <c r="H19" s="113" t="str">
        <f>IFERROR(IF(D19="","",IF(AND(E19=""),"",IF(OR(D19=$AX$24,D19=$AX$25,D19=$AX$26,D19=$AX$27,D19=$AX$28,D19=$AX$29),"",IF(AND('Master Data'!$I$29='GA55 Check &amp; Edit'!$AP$5),'Master Data'!$B$44,"")))),"")</f>
        <v/>
      </c>
      <c r="I19" s="113" t="str">
        <f>IFERROR(IF(D19="","",IF(AND(E19=""),"",IF(OR(D19=$AX$24,D19=$AX$25,D19=$AX$26,D19=$AX$27,D19=$AX$28,D19=$AX$29),"",IF(AND('Master Data'!$I$29='GA55 Check &amp; Edit'!$AP$5,'Master Data'!$E$29='GA55 Check &amp; Edit'!$AO$5),'Master Data'!$E$31,"0")))),"")</f>
        <v>0</v>
      </c>
      <c r="J19" s="113" t="str">
        <f>IFERROR(IF(OR('Master Data'!$E$33=$AO$6,'Master Data'!$E$33=""),"",IF(D19="","",IF(AND(E19=""),"",IF(OR(D19=$AX$24,D19=$AX$25,D19=$AX$26,D19=$AX$27,D19=$AX$28,D19=$AX$29),"",IF(AND('Master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19" s="113" t="str">
        <f>IFERROR(IF(D19="","",IF(AND(E19=""),"",IF(OR(D19=$AX$24,D19=$AX$25,D19=$AX$26,D19=$AX$27,D19=$AX$28,D19=$AX$29),"",IF(AND('Master Data'!$I$29='GA55 Check &amp; Edit'!$AP$5),'Master Data'!$C$44,"")))),"")</f>
        <v/>
      </c>
      <c r="L19" s="113" t="str">
        <f>IFERROR(IF(D19="","",IF(AND(E19=""),"",IF(OR(D19=$AX$24,D19=$AX$25,D19=$AX$26,D19=$AX$27,D19=$AX$28,D19=$AX$29),"",IF(AND('Master Data'!$I$29='GA55 Check &amp; Edit'!$AP$6),"",'Master Data'!$D$44)))),"")</f>
        <v/>
      </c>
      <c r="M19" s="113" t="str">
        <f>IFERROR(IF(D19="","",IF(AND(E19=""),"",IF(OR(D19=$AX$24,D19=$AX$25,D19=$AX$26,D19=$AX$27,D19=$AX$28,D19=$AX$29),"",IF(AND('Master Data'!$I$29='GA55 Check &amp; Edit'!$AP$6),"",'Master Data'!$E$44)))),"")</f>
        <v/>
      </c>
      <c r="N19" s="113" t="str">
        <f>IFERROR(IF(D19="","",IF(AND('Master Data'!$I$29='GA55 Check &amp; Edit'!$AP$6),"",IF(AND('Master Data'!$I$25='GA55 Check &amp; Edit'!$AO$6),"0",IF(AND(D19="Bonus"),VLOOKUP(D19,ram,4,0),"")))),"")</f>
        <v>0</v>
      </c>
      <c r="O19" s="114">
        <f>IF(D19="","",IF('Master Data'!$N$25="","",SUM(E19:N19)))</f>
        <v>65688</v>
      </c>
      <c r="P19" s="103" t="str">
        <f>IFERROR(IF(OR('Master Data'!$I$29='GA55 Check &amp; Edit'!$AP$6,D19=""),"",IF(AND(D19=$AX$24),"",IF(AND(D19=$AX$25),"",IF(AND(D19=$AX$26),"",IF(AND(D19=$AX$27),"",IF(AND(D19=$AX$28),"",IF(AND(D19=$AX$29),"",IF(AND(E19=""),"",VLOOKUP(D19,ram,11,0))))))))),"")</f>
        <v/>
      </c>
      <c r="Q19" s="102">
        <f>IFERROR(IF(AND('Master Data'!$I$29='GA55 Check &amp; Edit'!$AP$6),"",IF(AND(D19=$AX$25),"",IF(AND(D19=$AX$28),"",IF(AND(D19=$AX$29),"",IF(AND(D19=""),"",IF(AND(BB23=""),"",VLOOKUP(D19,ram,12,0))))))),"")</f>
        <v>2850</v>
      </c>
      <c r="R19" s="103" t="str">
        <f>IFERROR(IF(OR('Master Data'!$I$29='GA55 Check &amp; Edit'!$AP$6,D19=""),"",IF(AND(D19=$AX$24),"",IF(AND(D19=$AX$25),"",IF(AND(D19=$AX$26),"",IF(AND(D19=$AX$27),"",IF(AND(D19=$AX$28),"",IF(AND(D19=$AX$29),"",IF(AND(E19=""),"",'Master Data'!$I$44)))))))),"")</f>
        <v/>
      </c>
      <c r="S19" s="103">
        <f>IFERROR(IF(OR('Master Data'!$I$29='GA55 Check &amp; Edit'!$AP$6),"",IF(D19="","",IF(E19="","",IF(AND(D19=$AX$24),"",IF(AND(D19=$AX$25),"",IF(AND(D19=$AX$26),"",IF(AND(D19=$AX$27),"",IF(AND(D19=$AX$28),"",IF(AND(D19=$AX$29),"",VLOOKUP(D19,ram,10,0)))))))))),"")</f>
        <v>658</v>
      </c>
      <c r="T19" s="103">
        <f>IFERROR(IF(OR('Master Data'!$I$29='GA55 Check &amp; Edit'!$AP$6,D19=""),"",IF(AND(D19=$AX$24),"",IF(AND(D19=$AX$25),"",IF(AND(D19=$AX$26),"",IF(AND(D19=$AX$27),"",IF(AND(D19=$AX$28),"",IF(AND(D19=$AX$29),"",IF(AND(E19=""),"",'Master Data'!$K$44)))))))),"")</f>
        <v>3000</v>
      </c>
      <c r="U19" s="102">
        <f>IFERROR(IF(OR('Master Data'!$I$29='GA55 Check &amp; Edit'!$AP$6,D8=""),"",IF(AND(D8=$AX$24),"",IF(AND(D8=$AX$25),"",IF(AND(D8=$AX$26),"",IF(AND(D8=$AX$27),"",IF(AND(D8=$AX$28),"",IF(AND(D8=$AX$29),"",IF(AND(E8=""),"",'Master Data'!$L$44)))))))),"")</f>
        <v>2100</v>
      </c>
      <c r="V19" s="103" t="str">
        <f>IFERROR(IF(OR('Master Data'!$I$29='GA55 Check &amp; Edit'!$AP$6,D19=""),"",IF(AND(D19=$AX$24),"",IF(AND(D19=$AX$25),"",IF(AND(D19=$AX$26),"",IF(AND(D19=$AX$27),"",IF(AND(D19=$AX$28),"",IF(AND(D19=$AX$29),"",IF(AND(E19=""),"",'Master Data'!$M$44)))))))),"")</f>
        <v/>
      </c>
      <c r="W19" s="103" t="str">
        <f>IFERROR(IF(OR('Master Data'!$I$29='GA55 Check &amp; Edit'!$AP$6,D19=""),"",IF(AND(D19=$AX$24),"",IF(AND(D19=$AX$25),"",IF(AND(D19=$AX$26),"",IF(AND(D19=$AX$27),"",IF(AND(D19=$AX$28),"",IF(AND(D19=$AX$29),"",IF(AND(E19=""),"",'Master Data'!$N$44)))))))),"")</f>
        <v/>
      </c>
      <c r="X19" s="103" t="str">
        <f>IFERROR(IF(OR('Master Data'!$I$29='GA55 Check &amp; Edit'!$AP$6,D19=""),"",IF(AND(E19=""),"",IF(AND('GA55 Check &amp; Edit'!D19='GA55 Check &amp; Edit'!$AT$17,'Master Data'!$D$18="Gazetted"),500,IF(AND('GA55 Check &amp; Edit'!D19='GA55 Check &amp; Edit'!$AT$17,'Master Data'!$D$18="Non-Gazetted"),250,"")))),"")</f>
        <v/>
      </c>
      <c r="Y19" s="103" t="str">
        <f>IFERROR(IF(D19="","",IF(AND(E19=""),"",IF(AND(D19=$AX$24),"",IF(AND(D19=$AX$25),"",IF(AND(D19=$AX$26),"",IF(AND(D19=$AX$27),"",IF(AND(D19=$AX$28),"",IF(AND(D19=$AX$29),"",IF(OR('Master Data'!$I$29='GA55 Check &amp; Edit'!$AP$6,D19=""),"",$Y$7))))))))),"")</f>
        <v/>
      </c>
      <c r="Z19" s="103">
        <f>IFERROR(IF(OR('Master Data'!$I$29='GA55 Check &amp; Edit'!$AP$6),"",IF(D19="","",IF(E19="","",VLOOKUP(D19,ram,9,0)))),"")</f>
        <v>0</v>
      </c>
      <c r="AA19" s="103" t="str">
        <f>IFERROR(IF(OR('Master Data'!$I$29='GA55 Check &amp; Edit'!$AP$6,D19="",'Master Data'!$N$35=""),"",IF(AND(E19=""),"",IF('GA55 Check &amp; Edit'!D19='GA55 Check &amp; Edit'!$AT$9,'Master Data'!$N$35,""))),"")</f>
        <v/>
      </c>
      <c r="AB19" s="115">
        <f t="shared" si="4"/>
        <v>8608</v>
      </c>
      <c r="AC19" s="116">
        <f t="shared" si="5"/>
        <v>57080</v>
      </c>
      <c r="AD19" s="117"/>
      <c r="AE19" s="118"/>
      <c r="AF19" s="1"/>
      <c r="AG19" s="108"/>
      <c r="AH19" s="109"/>
      <c r="AI19" s="109"/>
      <c r="AJ19" s="109"/>
      <c r="AK19" s="109"/>
      <c r="AL19" s="109"/>
      <c r="AM19" s="54"/>
      <c r="AN19" s="54"/>
      <c r="AO19" s="54"/>
      <c r="AP19" s="54"/>
      <c r="AQ19" s="54"/>
      <c r="AR19" s="54"/>
      <c r="AS19" s="54" t="s">
        <v>81</v>
      </c>
      <c r="AT19" s="89">
        <v>46054.0</v>
      </c>
      <c r="AU19" s="54" t="s">
        <v>82</v>
      </c>
      <c r="AV19" s="54"/>
      <c r="AW19" s="125" t="s">
        <v>77</v>
      </c>
      <c r="AX19" s="89">
        <v>45931.0</v>
      </c>
      <c r="AY19" s="54">
        <v>10.0</v>
      </c>
      <c r="AZ19" s="54" t="str">
        <f>IF(AND(AZ21&lt;$AX$12),"",IF(AND(AZ21&gt;$AX$15),"",AZ22))</f>
        <v/>
      </c>
      <c r="BA19" s="55">
        <f>IF(AND('Master Data'!$N$25=""),"",IF(AND('Master Data'!$N$27='GA55 Check &amp; Edit'!$AP$6),'GA55 Check &amp; Edit'!$AZ$15,BU19))</f>
        <v>39100</v>
      </c>
      <c r="BB19" s="55">
        <f t="shared" si="7"/>
        <v>39100</v>
      </c>
      <c r="BC19" s="54">
        <f>IF(AND('Master Data'!$N$25=""),"",ROUND(58%*BA19,0))</f>
        <v>22678</v>
      </c>
      <c r="BD19" s="54">
        <f t="shared" si="8"/>
        <v>22678</v>
      </c>
      <c r="BE19" s="126">
        <f>IFERROR(IF(AND('Master Data'!$N$25=""),"",ROUND('Master Data'!$E$35%*BB19,0)),"")</f>
        <v>3910</v>
      </c>
      <c r="BF19" s="55" t="str">
        <f>'Master Data'!I48</f>
        <v/>
      </c>
      <c r="BG19" s="55">
        <f>IFERROR(IF(OR('Master Data'!$I$29='GA55 Check &amp; Edit'!$AP$6),"",IF('Master Data'!$I$31="GPF-2004",IF(BB19&lt;18001,265,IF(BB19&lt;33501,440,IF(BB19&lt;54001,658,875))),IF(AND('Master Data'!$I$31="GPF",'Master Data'!$J$44=""),IF(BB19&lt;18001,265,IF(BB19&lt;33501,440,IF(BB19&lt;54001,658,875))),'Master Data'!$J$44))),"")</f>
        <v>658</v>
      </c>
      <c r="BH19" s="54" t="str">
        <f>IFERROR(IF(OR('Master Data'!$I$29='GA55 Check &amp; Edit'!$AP$6),"",'Master Data'!$G$44),"")</f>
        <v/>
      </c>
      <c r="BI19" s="127">
        <f>IFERROR(IF(OR('Master Data'!$I$29='GA55 Check &amp; Edit'!$AP$6),"",IF('Master Data'!$I$31="GPF-2004",IF(BB19&lt;23101,1450,IF(BB19&lt;28501,1625,IF(BB19&lt;38501,2100,IF(BB19&lt;51501,2850,IF(BB19&lt;62001,3575,IF(BB19&lt;72001,4200,IF(BB19&lt;80001,4800,IF(BB19&lt;116001,6150,IF(BB19&lt;167001,8900,10500))))))))),'Master Data'!$H$44)),"")</f>
        <v>2850</v>
      </c>
      <c r="BJ19" s="55">
        <f t="shared" si="15"/>
        <v>39100</v>
      </c>
      <c r="BK19" s="130">
        <v>45931.0</v>
      </c>
      <c r="BL19" s="130">
        <f>IFERROR(IF('Master Data'!$N$25="","",IF('Master Data'!$F$41="","",IF(AND($AZ$17&gt;$AZ$9),"",DATE(YEAR(BL18),MONTH(BL18)+1,DAY(BL18))))),"")</f>
        <v>45931</v>
      </c>
      <c r="BM19" s="130">
        <f>IFERROR(IF('Master Data'!$N$25="","",IF('Master Data'!$F$41="","",IF(AND($AZ$17&gt;$AZ$9),"",DATE(YEAR(BM18),MONTH(BM18)+1,DAY(BM18))))),"")</f>
        <v>45931</v>
      </c>
      <c r="BN19" s="130">
        <f t="shared" si="10"/>
        <v>45931</v>
      </c>
      <c r="BO19" s="130">
        <f t="shared" si="14"/>
        <v>45931</v>
      </c>
      <c r="BP19" s="130"/>
      <c r="BQ19" s="130">
        <f t="shared" si="11"/>
        <v>45931</v>
      </c>
      <c r="BR19" s="130"/>
      <c r="BS19" s="55" t="str">
        <f t="shared" si="12"/>
        <v/>
      </c>
      <c r="BT19" s="55"/>
      <c r="BU19" s="55">
        <f>IF(AND('Master Data'!$N$25=""),"",IF(AND('Master Data'!$N$27='GA55 Check &amp; Edit'!AX19),'Master Data'!$N$31,BU18))</f>
        <v>39100</v>
      </c>
      <c r="BV19" s="130"/>
      <c r="BW19" s="54"/>
      <c r="BX19" s="55" t="str">
        <f t="shared" si="13"/>
        <v/>
      </c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109"/>
      <c r="CJ19" s="109"/>
      <c r="CK19" s="109"/>
      <c r="CL19" s="109"/>
      <c r="CM19" s="109"/>
      <c r="CN19" s="109"/>
      <c r="CO19" s="109"/>
      <c r="CP19" s="108"/>
      <c r="CQ19" s="108"/>
      <c r="CR19" s="108"/>
      <c r="CS19" s="108"/>
      <c r="CT19" s="108"/>
    </row>
    <row r="20" ht="21.0" customHeight="1">
      <c r="A20" s="1">
        <f t="shared" si="1"/>
        <v>1</v>
      </c>
      <c r="B20" s="96">
        <f t="shared" si="6"/>
        <v>13</v>
      </c>
      <c r="C20" s="110">
        <f t="shared" si="2"/>
        <v>13</v>
      </c>
      <c r="D20" s="111" t="str">
        <f t="shared" si="3"/>
        <v>Bonus</v>
      </c>
      <c r="E20" s="112" t="str">
        <f>IFERROR(IF(D20="","",IF(AND(BQ24=""),"",IF(AND('Master Data'!$I$29='GA55 Check &amp; Edit'!$AP$6),VLOOKUP(D20,ram,13,0),VLOOKUP(D20,ram,4,0)))),"")</f>
        <v/>
      </c>
      <c r="F20" s="113" t="str">
        <f>IFERROR(IF(D20="","",IF(D20=$AX$24,"",IF(AND(D20=$AX$28),"",IF(AND('Master Data'!$I$29='GA55 Check &amp; Edit'!$AP$5),VLOOKUP(D20,ram,7,0),"")))),"")</f>
        <v/>
      </c>
      <c r="G20" s="113" t="str">
        <f>IFERROR(IF(D20="","",IF(D20=$AX$24,"",IF(AND(D20=$AX$25),"",IF(AND(D20=$AX$26),"",IF(AND(D20=$AX$27),"",IF(AND(D20=$AX$28),"",IF(AND(D20=$AX$29),"",IF(AND('Master Data'!$I$29='GA55 Check &amp; Edit'!$AP$6),"",VLOOKUP(D20,ram,8,0))))))))),"")</f>
        <v/>
      </c>
      <c r="H20" s="113" t="str">
        <f>IFERROR(IF(D20="","",IF(AND(E20=""),"",IF(OR(D20=$AX$24,D20=$AX$25,D20=$AX$26,D20=$AX$27,D20=$AX$28,D20=$AX$29),"",IF(AND('Master Data'!$I$29='GA55 Check &amp; Edit'!$AP$5),'Master Data'!$B$44,"")))),"")</f>
        <v/>
      </c>
      <c r="I20" s="113" t="str">
        <f>IFERROR(IF(D20="","",IF(AND(E20=""),"",IF(OR(D20=$AX$24,D20=$AX$25,D20=$AX$26,D20=$AX$27,D20=$AX$28,D20=$AX$29),"",IF(AND('Master Data'!$I$29='GA55 Check &amp; Edit'!$AP$5,'Master Data'!$E$29='GA55 Check &amp; Edit'!$AO$5),'Master Data'!$E$31,"0")))),"")</f>
        <v/>
      </c>
      <c r="J20" s="113" t="str">
        <f>IFERROR(IF(OR('Master Data'!$E$33=$AO$6,'Master Data'!$E$33=""),"",IF(D20="","",IF(AND(E20=""),"",IF(OR(D20=$AX$24,D20=$AX$25,D20=$AX$26,D20=$AX$27,D20=$AX$28,D20=$AX$29),"",IF(AND('Master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0" s="113" t="str">
        <f>IFERROR(IF(D20="","",IF(AND(E20=""),"",IF(OR(D20=$AX$24,D20=$AX$25,D20=$AX$26,D20=$AX$27,D20=$AX$28,D20=$AX$29),"",IF(AND('Master Data'!$I$29='GA55 Check &amp; Edit'!$AP$5),'Master Data'!$C$44,"")))),"")</f>
        <v/>
      </c>
      <c r="L20" s="113" t="str">
        <f>IFERROR(IF(D20="","",IF(AND(E20=""),"",IF(OR(D20=$AX$24,D20=$AX$25,D20=$AX$26,D20=$AX$27,D20=$AX$28,D20=$AX$29),"",IF(AND('Master Data'!$I$29='GA55 Check &amp; Edit'!$AP$6),"",'Master Data'!$D$44)))),"")</f>
        <v/>
      </c>
      <c r="M20" s="113" t="str">
        <f>IFERROR(IF(D20="","",IF(AND(E20=""),"",IF(OR(D20=$AX$24,D20=$AX$25,D20=$AX$26,D20=$AX$27,D20=$AX$28,D20=$AX$29),"",IF(AND('Master Data'!$I$29='GA55 Check &amp; Edit'!$AP$6),"",'Master Data'!$E$44)))),"")</f>
        <v/>
      </c>
      <c r="N20" s="113" t="str">
        <f>IFERROR(IF(D20="","",IF(AND('Master Data'!$I$29='GA55 Check &amp; Edit'!$AP$6),"",IF(AND('Master Data'!$I$25='GA55 Check &amp; Edit'!$AO$6),"0",IF(AND(D20="Bonus"),VLOOKUP(D20,ram,4,0),"")))),"")</f>
        <v>0</v>
      </c>
      <c r="O20" s="114">
        <f>IF(D20="","",IF('Master Data'!$N$25="","",SUM(E20:N20)))</f>
        <v>0</v>
      </c>
      <c r="P20" s="103" t="str">
        <f>IFERROR(IF(OR('Master Data'!$I$29='GA55 Check &amp; Edit'!$AP$6,D20=""),"",IF(AND(D20=$AX$24),"",IF(AND(D20=$AX$25),"",IF(AND(D20=$AX$26),"",IF(AND(D20=$AX$27),"",IF(AND(D20=$AX$28),"",IF(AND(D20=$AX$29),"",IF(AND(E20=""),"",VLOOKUP(D20,ram,11,0))))))))),"")</f>
        <v/>
      </c>
      <c r="Q20" s="102" t="str">
        <f>IFERROR(IF(AND('Master Data'!$I$29='GA55 Check &amp; Edit'!$AP$6),"",IF(AND(D20=$AX$25),"",IF(AND(D20=$AX$28),"",IF(AND(D20=$AX$29),"",IF(AND(D20=""),"",IF(AND(BB24=""),"",VLOOKUP(D20,ram,12,0))))))),"")</f>
        <v/>
      </c>
      <c r="R20" s="103" t="str">
        <f>IFERROR(IF(OR('Master Data'!$I$29='GA55 Check &amp; Edit'!$AP$6,D20=""),"",IF(AND(D20=$AX$24),"",IF(AND(D20=$AX$25),"",IF(AND(D20=$AX$26),"",IF(AND(D20=$AX$27),"",IF(AND(D20=$AX$28),"",IF(AND(D20=$AX$29),"",IF(AND(E20=""),"",'Master Data'!$I$44)))))))),"")</f>
        <v/>
      </c>
      <c r="S20" s="103" t="str">
        <f>IFERROR(IF(OR('Master Data'!$I$29='GA55 Check &amp; Edit'!$AP$6),"",IF(D20="","",IF(E20="","",IF(AND(D20=$AX$24),"",IF(AND(D20=$AX$25),"",IF(AND(D20=$AX$26),"",IF(AND(D20=$AX$27),"",IF(AND(D20=$AX$28),"",IF(AND(D20=$AX$29),"",VLOOKUP(D20,ram,10,0)))))))))),"")</f>
        <v/>
      </c>
      <c r="T20" s="103" t="str">
        <f>IFERROR(IF(OR('Master Data'!$I$29='GA55 Check &amp; Edit'!$AP$6,D20=""),"",IF(AND(D20=$AX$24),"",IF(AND(D20=$AX$25),"",IF(AND(D20=$AX$26),"",IF(AND(D20=$AX$27),"",IF(AND(D20=$AX$28),"",IF(AND(D20=$AX$29),"",IF(AND(E20=""),"",'Master Data'!$K$44)))))))),"")</f>
        <v/>
      </c>
      <c r="U20" s="103" t="str">
        <f>IFERROR(IF(OR('Master Data'!$I$29='GA55 Check &amp; Edit'!$AP$6,D20=""),"",IF(AND(D20=$AX$24),"",IF(AND(D20=$AX$25),"",IF(AND(D20=$AX$26),"",IF(AND(D20=$AX$27),"",IF(AND(D20=$AX$28),"",IF(AND(D20=$AX$29),"",IF(AND(E20=""),"",'Master Data'!$L$44)))))))),"")</f>
        <v/>
      </c>
      <c r="V20" s="103" t="str">
        <f>IFERROR(IF(OR('Master Data'!$I$29='GA55 Check &amp; Edit'!$AP$6,D20=""),"",IF(AND(D20=$AX$24),"",IF(AND(D20=$AX$25),"",IF(AND(D20=$AX$26),"",IF(AND(D20=$AX$27),"",IF(AND(D20=$AX$28),"",IF(AND(D20=$AX$29),"",IF(AND(E20=""),"",'Master Data'!$M$44)))))))),"")</f>
        <v/>
      </c>
      <c r="W20" s="103" t="str">
        <f>IFERROR(IF(OR('Master Data'!$I$29='GA55 Check &amp; Edit'!$AP$6,D20=""),"",IF(AND(D20=$AX$24),"",IF(AND(D20=$AX$25),"",IF(AND(D20=$AX$26),"",IF(AND(D20=$AX$27),"",IF(AND(D20=$AX$28),"",IF(AND(D20=$AX$29),"",IF(AND(E20=""),"",'Master Data'!$N$44)))))))),"")</f>
        <v/>
      </c>
      <c r="X20" s="103" t="str">
        <f>IFERROR(IF(OR('Master Data'!$I$29='GA55 Check &amp; Edit'!$AP$6,D20=""),"",IF(AND(E20=""),"",IF(AND('GA55 Check &amp; Edit'!D20='GA55 Check &amp; Edit'!$AT$17,'Master Data'!$D$18="Gazetted"),500,IF(AND('GA55 Check &amp; Edit'!D20='GA55 Check &amp; Edit'!$AT$17,'Master Data'!$D$18="Non-Gazetted"),250,"")))),"")</f>
        <v/>
      </c>
      <c r="Y20" s="103" t="str">
        <f>IFERROR(IF(D20="","",IF(AND(E20=""),"",IF(AND(D20=$AX$24),"",IF(AND(D20=$AX$25),"",IF(AND(D20=$AX$26),"",IF(AND(D20=$AX$27),"",IF(AND(D20=$AX$28),"",IF(AND(D20=$AX$29),"",IF(OR('Master Data'!$I$29='GA55 Check &amp; Edit'!$AP$6,D20=""),"",$Y$7))))))))),"")</f>
        <v/>
      </c>
      <c r="Z20" s="103"/>
      <c r="AA20" s="103" t="str">
        <f>IFERROR(IF(OR('Master Data'!$I$29='GA55 Check &amp; Edit'!$AP$6,D20="",'Master Data'!$N$35=""),"",IF(AND(E20=""),"",IF('GA55 Check &amp; Edit'!D20='GA55 Check &amp; Edit'!$AT$9,'Master Data'!$N$35,""))),"")</f>
        <v/>
      </c>
      <c r="AB20" s="115">
        <f t="shared" si="4"/>
        <v>0</v>
      </c>
      <c r="AC20" s="116">
        <f t="shared" si="5"/>
        <v>0</v>
      </c>
      <c r="AD20" s="117"/>
      <c r="AE20" s="118"/>
      <c r="AF20" s="1"/>
      <c r="AG20" s="108"/>
      <c r="AH20" s="109"/>
      <c r="AI20" s="109"/>
      <c r="AJ20" s="109"/>
      <c r="AK20" s="109"/>
      <c r="AL20" s="109"/>
      <c r="AM20" s="54"/>
      <c r="AN20" s="54"/>
      <c r="AO20" s="54"/>
      <c r="AP20" s="54"/>
      <c r="AQ20" s="54"/>
      <c r="AR20" s="54"/>
      <c r="AS20" s="54"/>
      <c r="AT20" s="54"/>
      <c r="AU20" s="54" t="s">
        <v>83</v>
      </c>
      <c r="AV20" s="54"/>
      <c r="AW20" s="125" t="s">
        <v>79</v>
      </c>
      <c r="AX20" s="89">
        <v>45962.0</v>
      </c>
      <c r="AY20" s="54">
        <v>11.0</v>
      </c>
      <c r="AZ20" s="54"/>
      <c r="BA20" s="55">
        <f>IF(AND('Master Data'!$N$25=""),"",IF(AND('Master Data'!$N$27='GA55 Check &amp; Edit'!$AP$6),'GA55 Check &amp; Edit'!$AZ$15,BU20))</f>
        <v>39100</v>
      </c>
      <c r="BB20" s="55">
        <f t="shared" si="7"/>
        <v>39100</v>
      </c>
      <c r="BC20" s="54">
        <f>IF(AND('Master Data'!$N$25=""),"",ROUND(58%*BA20,0))</f>
        <v>22678</v>
      </c>
      <c r="BD20" s="54">
        <f t="shared" si="8"/>
        <v>22678</v>
      </c>
      <c r="BE20" s="126">
        <f>IFERROR(IF(AND('Master Data'!$N$25=""),"",ROUND('Master Data'!$E$35%*BB20,0)),"")</f>
        <v>3910</v>
      </c>
      <c r="BF20" s="55">
        <f>'Master Data'!J48</f>
        <v>0</v>
      </c>
      <c r="BG20" s="55">
        <f>IFERROR(IF(OR('Master Data'!$I$29='GA55 Check &amp; Edit'!$AP$6),"",IF('Master Data'!$I$31="GPF-2004",IF(BB20&lt;18001,265,IF(BB20&lt;33501,440,IF(BB20&lt;54001,658,875))),IF(AND('Master Data'!$I$31="GPF",'Master Data'!$J$44=""),IF(BB20&lt;18001,265,IF(BB20&lt;33501,440,IF(BB20&lt;54001,658,875))),'Master Data'!$J$44))),"")</f>
        <v>658</v>
      </c>
      <c r="BH20" s="54" t="str">
        <f>IFERROR(IF(OR('Master Data'!$I$29='GA55 Check &amp; Edit'!$AP$6),"",'Master Data'!$G$44),"")</f>
        <v/>
      </c>
      <c r="BI20" s="127">
        <f>IFERROR(IF(OR('Master Data'!$I$29='GA55 Check &amp; Edit'!$AP$6),"",IF('Master Data'!$I$31="GPF-2004",IF(BB20&lt;23101,1450,IF(BB20&lt;28501,1625,IF(BB20&lt;38501,2100,IF(BB20&lt;51501,2850,IF(BB20&lt;62001,3575,IF(BB20&lt;72001,4200,IF(BB20&lt;80001,4800,IF(BB20&lt;116001,6150,IF(BB20&lt;167001,8900,10500))))))))),'Master Data'!$H$44)),"")</f>
        <v>2850</v>
      </c>
      <c r="BJ20" s="55">
        <f t="shared" si="15"/>
        <v>39100</v>
      </c>
      <c r="BK20" s="130">
        <v>45962.0</v>
      </c>
      <c r="BL20" s="130">
        <f>IFERROR(IF('Master Data'!$N$25="","",IF('Master Data'!$F$41="","",IF(AND($AZ$17&gt;$AZ$9),"",DATE(YEAR(BL19),MONTH(BL19)+1,DAY(BL19))))),"")</f>
        <v>45962</v>
      </c>
      <c r="BM20" s="130">
        <f>IFERROR(IF('Master Data'!$N$25="","",IF('Master Data'!$F$41="","",IF(AND($AZ$17&gt;$AZ$9),"",DATE(YEAR(BM19),MONTH(BM19)+1,DAY(BM19))))),"")</f>
        <v>45962</v>
      </c>
      <c r="BN20" s="130">
        <f t="shared" si="10"/>
        <v>45962</v>
      </c>
      <c r="BO20" s="130">
        <f t="shared" si="14"/>
        <v>45962</v>
      </c>
      <c r="BP20" s="130"/>
      <c r="BQ20" s="130">
        <f t="shared" si="11"/>
        <v>45962</v>
      </c>
      <c r="BR20" s="130"/>
      <c r="BS20" s="55" t="str">
        <f t="shared" si="12"/>
        <v/>
      </c>
      <c r="BT20" s="55"/>
      <c r="BU20" s="55">
        <f>IF(AND('Master Data'!$N$25=""),"",IF(AND('Master Data'!$N$27='GA55 Check &amp; Edit'!AX20),'Master Data'!$N$31,BU19))</f>
        <v>39100</v>
      </c>
      <c r="BV20" s="130"/>
      <c r="BW20" s="54"/>
      <c r="BX20" s="55">
        <f t="shared" si="13"/>
        <v>0</v>
      </c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109"/>
      <c r="CJ20" s="109"/>
      <c r="CK20" s="109"/>
      <c r="CL20" s="109"/>
      <c r="CM20" s="109"/>
      <c r="CN20" s="109"/>
      <c r="CO20" s="109"/>
      <c r="CP20" s="108"/>
      <c r="CQ20" s="108"/>
      <c r="CR20" s="108"/>
      <c r="CS20" s="108"/>
      <c r="CT20" s="108"/>
    </row>
    <row r="21" ht="21.0" customHeight="1">
      <c r="A21" s="1">
        <f t="shared" si="1"/>
        <v>0</v>
      </c>
      <c r="B21" s="96">
        <f t="shared" si="6"/>
        <v>14</v>
      </c>
      <c r="C21" s="110">
        <f t="shared" si="2"/>
        <v>14</v>
      </c>
      <c r="D21" s="111" t="str">
        <f t="shared" si="3"/>
        <v>PL Surrender</v>
      </c>
      <c r="E21" s="112" t="str">
        <f>IFERROR(IF(D21="","",IF(AND(BQ25=""),"",IF(AND('Master Data'!$I$29='GA55 Check &amp; Edit'!$AP$6),VLOOKUP(D21,ram,13,0),VLOOKUP(D21,ram,4,0)))),"")</f>
        <v/>
      </c>
      <c r="F21" s="113" t="str">
        <f>IFERROR(IF(D21="","",IF(D21=$AX$24,"",IF(AND(D21=$AX$28),"",IF(AND('Master Data'!$I$29='GA55 Check &amp; Edit'!$AP$5),VLOOKUP(D21,ram,7,0),"")))),"")</f>
        <v/>
      </c>
      <c r="G21" s="113" t="str">
        <f>IFERROR(IF(D21="","",IF(D21=$AX$24,"",IF(AND(D21=$AX$25),"",IF(AND(D21=$AX$26),"",IF(AND(D21=$AX$27),"",IF(AND(D21=$AX$28),"",IF(AND(D21=$AX$29),"",IF(AND('Master Data'!$I$29='GA55 Check &amp; Edit'!$AP$6),"",VLOOKUP(D21,ram,8,0))))))))),"")</f>
        <v/>
      </c>
      <c r="H21" s="113" t="str">
        <f>IFERROR(IF(D21="","",IF(AND(E21=""),"",IF(OR(D21=$AX$24,D21=$AX$25,D21=$AX$26,D21=$AX$27,D21=$AX$28,D21=$AX$29),"",IF(AND('Master Data'!$I$29='GA55 Check &amp; Edit'!$AP$5),'Master Data'!$B$44,"")))),"")</f>
        <v/>
      </c>
      <c r="I21" s="113" t="str">
        <f>IFERROR(IF(D21="","",IF(AND(E21=""),"",IF(OR(D21=$AX$24,D21=$AX$25,D21=$AX$26,D21=$AX$27,D21=$AX$28,D21=$AX$29),"",IF(AND('Master Data'!$I$29='GA55 Check &amp; Edit'!$AP$5,'Master Data'!$E$29='GA55 Check &amp; Edit'!$AO$5),'Master Data'!$E$31,"0")))),"")</f>
        <v/>
      </c>
      <c r="J21" s="113" t="str">
        <f>IFERROR(IF(OR('Master Data'!$E$33=$AO$6,'Master Data'!$E$33=""),"",IF(D21="","",IF(AND(E21=""),"",IF(OR(D21=$AX$24,D21=$AX$25,D21=$AX$26,D21=$AX$27,D21=$AX$28,D21=$AX$29),"",IF(AND('Master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1" s="113" t="str">
        <f>IFERROR(IF(D21="","",IF(AND(E21=""),"",IF(OR(D21=$AX$24,D21=$AX$25,D21=$AX$26,D21=$AX$27,D21=$AX$28,D21=$AX$29),"",IF(AND('Master Data'!$I$29='GA55 Check &amp; Edit'!$AP$5),'Master Data'!$C$44,"")))),"")</f>
        <v/>
      </c>
      <c r="L21" s="113" t="str">
        <f>IFERROR(IF(D21="","",IF(AND(E21=""),"",IF(OR(D21=$AX$24,D21=$AX$25,D21=$AX$26,D21=$AX$27,D21=$AX$28,D21=$AX$29),"",IF(AND('Master Data'!$I$29='GA55 Check &amp; Edit'!$AP$6),"",'Master Data'!$D$44)))),"")</f>
        <v/>
      </c>
      <c r="M21" s="113" t="str">
        <f>IFERROR(IF(D21="","",IF(AND(E21=""),"",IF(OR(D21=$AX$24,D21=$AX$25,D21=$AX$26,D21=$AX$27,D21=$AX$28,D21=$AX$29),"",IF(AND('Master Data'!$I$29='GA55 Check &amp; Edit'!$AP$6),"",'Master Data'!$E$44)))),"")</f>
        <v/>
      </c>
      <c r="N21" s="113" t="str">
        <f>IFERROR(IF(D21="","",IF(AND('Master Data'!$I$29='GA55 Check &amp; Edit'!$AP$6),"",IF(AND('Master Data'!$I$25='GA55 Check &amp; Edit'!$AO$6),"0",IF(AND(D21="Bonus"),VLOOKUP(D21,ram,4,0),"")))),"")</f>
        <v>0</v>
      </c>
      <c r="O21" s="114">
        <f>IF(D21="","",IF('Master Data'!$N$25="","",SUM(E21:N21)))</f>
        <v>0</v>
      </c>
      <c r="P21" s="103" t="str">
        <f>IFERROR(IF(OR('Master Data'!$I$29='GA55 Check &amp; Edit'!$AP$6,D21=""),"",IF(AND(D21=$AX$24),"",IF(AND(D21=$AX$25),"",IF(AND(D21=$AX$26),"",IF(AND(D21=$AX$27),"",IF(AND(D21=$AX$28),"",IF(AND(D21=$AX$29),"",IF(AND(E21=""),"",VLOOKUP(D21,ram,11,0))))))))),"")</f>
        <v/>
      </c>
      <c r="Q21" s="102" t="str">
        <f>IFERROR(IF(AND('Master Data'!$I$29='GA55 Check &amp; Edit'!$AP$6),"",IF(AND(D21=$AX$25),"",IF(AND(D21=$AX$28),"",IF(AND(D21=$AX$29),"",IF(AND(D21=""),"",IF(AND(BB25=""),"",VLOOKUP(D21,ram,12,0))))))),"")</f>
        <v/>
      </c>
      <c r="R21" s="103" t="str">
        <f>IFERROR(IF(OR('Master Data'!$I$29='GA55 Check &amp; Edit'!$AP$6,D21=""),"",IF(AND(D21=$AX$24),"",IF(AND(D21=$AX$25),"",IF(AND(D21=$AX$26),"",IF(AND(D21=$AX$27),"",IF(AND(D21=$AX$28),"",IF(AND(D21=$AX$29),"",IF(AND(E21=""),"",'Master Data'!$I$44)))))))),"")</f>
        <v/>
      </c>
      <c r="S21" s="103" t="str">
        <f>IFERROR(IF(OR('Master Data'!$I$29='GA55 Check &amp; Edit'!$AP$6),"",IF(D21="","",IF(E21="","",IF(AND(D21=$AX$24),"",IF(AND(D21=$AX$25),"",IF(AND(D21=$AX$26),"",IF(AND(D21=$AX$27),"",IF(AND(D21=$AX$28),"",IF(AND(D21=$AX$29),"",VLOOKUP(D21,ram,10,0)))))))))),"")</f>
        <v/>
      </c>
      <c r="T21" s="103" t="str">
        <f>IFERROR(IF(OR('Master Data'!$I$29='GA55 Check &amp; Edit'!$AP$6,D21=""),"",IF(AND(D21=$AX$24),"",IF(AND(D21=$AX$25),"",IF(AND(D21=$AX$26),"",IF(AND(D21=$AX$27),"",IF(AND(D21=$AX$28),"",IF(AND(D21=$AX$29),"",IF(AND(E21=""),"",'Master Data'!$K$44)))))))),"")</f>
        <v/>
      </c>
      <c r="U21" s="103" t="str">
        <f>IFERROR(IF(OR('Master Data'!$I$29='GA55 Check &amp; Edit'!$AP$6,D21=""),"",IF(AND(D21=$AX$24),"",IF(AND(D21=$AX$25),"",IF(AND(D21=$AX$26),"",IF(AND(D21=$AX$27),"",IF(AND(D21=$AX$28),"",IF(AND(D21=$AX$29),"",IF(AND(E21=""),"",'Master Data'!$L$44)))))))),"")</f>
        <v/>
      </c>
      <c r="V21" s="103" t="str">
        <f>IFERROR(IF(OR('Master Data'!$I$29='GA55 Check &amp; Edit'!$AP$6,D21=""),"",IF(AND(D21=$AX$24),"",IF(AND(D21=$AX$25),"",IF(AND(D21=$AX$26),"",IF(AND(D21=$AX$27),"",IF(AND(D21=$AX$28),"",IF(AND(D21=$AX$29),"",IF(AND(E21=""),"",'Master Data'!$M$44)))))))),"")</f>
        <v/>
      </c>
      <c r="W21" s="103" t="str">
        <f>IFERROR(IF(OR('Master Data'!$I$29='GA55 Check &amp; Edit'!$AP$6,D21=""),"",IF(AND(D21=$AX$24),"",IF(AND(D21=$AX$25),"",IF(AND(D21=$AX$26),"",IF(AND(D21=$AX$27),"",IF(AND(D21=$AX$28),"",IF(AND(D21=$AX$29),"",IF(AND(E21=""),"",'Master Data'!$N$44)))))))),"")</f>
        <v/>
      </c>
      <c r="X21" s="103" t="str">
        <f>IFERROR(IF(OR('Master Data'!$I$29='GA55 Check &amp; Edit'!$AP$6,D21=""),"",IF(AND(E21=""),"",IF(AND('GA55 Check &amp; Edit'!D21='GA55 Check &amp; Edit'!$AT$17,'Master Data'!$D$18="Gazetted"),500,IF(AND('GA55 Check &amp; Edit'!D21='GA55 Check &amp; Edit'!$AT$17,'Master Data'!$D$18="Non-Gazetted"),250,"")))),"")</f>
        <v/>
      </c>
      <c r="Y21" s="103" t="str">
        <f>IFERROR(IF(D21="","",IF(AND(E21=""),"",IF(AND(D21=$AX$24),"",IF(AND(D21=$AX$25),"",IF(AND(D21=$AX$26),"",IF(AND(D21=$AX$27),"",IF(AND(D21=$AX$28),"",IF(AND(D21=$AX$29),"",IF(OR('Master Data'!$I$29='GA55 Check &amp; Edit'!$AP$6,D21=""),"",$Y$7))))))))),"")</f>
        <v/>
      </c>
      <c r="Z21" s="103"/>
      <c r="AA21" s="103" t="str">
        <f>IFERROR(IF(OR('Master Data'!$I$29='GA55 Check &amp; Edit'!$AP$6,D21="",'Master Data'!$N$35=""),"",IF(AND(E21=""),"",IF('GA55 Check &amp; Edit'!D21='GA55 Check &amp; Edit'!$AT$9,'Master Data'!$N$35,""))),"")</f>
        <v/>
      </c>
      <c r="AB21" s="115">
        <f t="shared" si="4"/>
        <v>0</v>
      </c>
      <c r="AC21" s="116">
        <f t="shared" si="5"/>
        <v>0</v>
      </c>
      <c r="AD21" s="117"/>
      <c r="AE21" s="118"/>
      <c r="AF21" s="1"/>
      <c r="AG21" s="108"/>
      <c r="AH21" s="109"/>
      <c r="AI21" s="109"/>
      <c r="AJ21" s="109"/>
      <c r="AK21" s="109"/>
      <c r="AL21" s="109"/>
      <c r="AM21" s="54"/>
      <c r="AN21" s="54"/>
      <c r="AO21" s="54"/>
      <c r="AP21" s="54"/>
      <c r="AQ21" s="54"/>
      <c r="AR21" s="54"/>
      <c r="AS21" s="54"/>
      <c r="AT21" s="54"/>
      <c r="AU21" s="54" t="s">
        <v>84</v>
      </c>
      <c r="AV21" s="54"/>
      <c r="AW21" s="125" t="s">
        <v>81</v>
      </c>
      <c r="AX21" s="89">
        <v>45992.0</v>
      </c>
      <c r="AY21" s="54">
        <v>12.0</v>
      </c>
      <c r="AZ21" s="128">
        <f>IF('Master Data'!N27="","",'Master Data'!N27)</f>
        <v>46054</v>
      </c>
      <c r="BA21" s="55">
        <f>IF(AND('Master Data'!$N$25=""),"",IF(AND('Master Data'!$N$27='GA55 Check &amp; Edit'!$AP$6),'GA55 Check &amp; Edit'!$AZ$15,BU21))</f>
        <v>39100</v>
      </c>
      <c r="BB21" s="55">
        <f t="shared" si="7"/>
        <v>39100</v>
      </c>
      <c r="BC21" s="54">
        <f>IF(AND('Master Data'!$N$25=""),"",ROUND(58%*BA21,0))</f>
        <v>22678</v>
      </c>
      <c r="BD21" s="54">
        <f t="shared" si="8"/>
        <v>22678</v>
      </c>
      <c r="BE21" s="126">
        <f>IFERROR(IF(AND('Master Data'!$N$25=""),"",ROUND('Master Data'!$E$35%*BB21,0)),"")</f>
        <v>3910</v>
      </c>
      <c r="BF21" s="55">
        <f>'Master Data'!K48</f>
        <v>0</v>
      </c>
      <c r="BG21" s="55">
        <f>IFERROR(IF(OR('Master Data'!$I$29='GA55 Check &amp; Edit'!$AP$6),"",IF('Master Data'!$I$31="GPF-2004",IF(BB21&lt;18001,265,IF(BB21&lt;33501,440,IF(BB21&lt;54001,658,875))),IF(AND('Master Data'!$I$31="GPF",'Master Data'!$J$44=""),IF(BB21&lt;18001,265,IF(BB21&lt;33501,440,IF(BB21&lt;54001,658,875))),'Master Data'!$J$44))),"")</f>
        <v>658</v>
      </c>
      <c r="BH21" s="54" t="str">
        <f>IFERROR(IF(OR('Master Data'!$I$29='GA55 Check &amp; Edit'!$AP$6),"",'Master Data'!$G$44),"")</f>
        <v/>
      </c>
      <c r="BI21" s="127">
        <f>IFERROR(IF(OR('Master Data'!$I$29='GA55 Check &amp; Edit'!$AP$6),"",IF('Master Data'!$I$31="GPF-2004",IF(BB21&lt;23101,1450,IF(BB21&lt;28501,1625,IF(BB21&lt;38501,2100,IF(BB21&lt;51501,2850,IF(BB21&lt;62001,3575,IF(BB21&lt;72001,4200,IF(BB21&lt;80001,4800,IF(BB21&lt;116001,6150,IF(BB21&lt;167001,8900,10500))))))))),'Master Data'!$H$44)),"")</f>
        <v>2850</v>
      </c>
      <c r="BJ21" s="55">
        <f t="shared" si="15"/>
        <v>39100</v>
      </c>
      <c r="BK21" s="130">
        <v>45992.0</v>
      </c>
      <c r="BL21" s="130">
        <f>IFERROR(IF('Master Data'!$N$25="","",IF('Master Data'!$F$41="","",IF(AND($AZ$17&gt;$AZ$9),"",DATE(YEAR(BL20),MONTH(BL20)+1,DAY(BL20))))),"")</f>
        <v>45992</v>
      </c>
      <c r="BM21" s="130">
        <f>IFERROR(IF('Master Data'!$N$25="","",IF('Master Data'!$F$41="","",IF(AND($AZ$17&gt;$AZ$9),"",DATE(YEAR(BM20),MONTH(BM20)+1,DAY(BM20))))),"")</f>
        <v>45992</v>
      </c>
      <c r="BN21" s="130">
        <f t="shared" si="10"/>
        <v>45992</v>
      </c>
      <c r="BO21" s="130">
        <f t="shared" si="14"/>
        <v>45992</v>
      </c>
      <c r="BP21" s="130"/>
      <c r="BQ21" s="130">
        <f t="shared" si="11"/>
        <v>45992</v>
      </c>
      <c r="BR21" s="130"/>
      <c r="BS21" s="55"/>
      <c r="BT21" s="55"/>
      <c r="BU21" s="55">
        <f>IF(AND('Master Data'!$N$25=""),"",IF(AND('Master Data'!$N$27='GA55 Check &amp; Edit'!AX21),'Master Data'!$N$31,BU20))</f>
        <v>39100</v>
      </c>
      <c r="BV21" s="130"/>
      <c r="BW21" s="54"/>
      <c r="BX21" s="55">
        <f t="shared" si="13"/>
        <v>0</v>
      </c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109"/>
      <c r="CJ21" s="109"/>
      <c r="CK21" s="109"/>
      <c r="CL21" s="109"/>
      <c r="CM21" s="109"/>
      <c r="CN21" s="109"/>
      <c r="CO21" s="109"/>
      <c r="CP21" s="108"/>
      <c r="CQ21" s="108"/>
      <c r="CR21" s="108"/>
      <c r="CS21" s="108"/>
      <c r="CT21" s="108"/>
    </row>
    <row r="22" ht="21.0" customHeight="1">
      <c r="A22" s="1">
        <f t="shared" si="1"/>
        <v>1</v>
      </c>
      <c r="B22" s="96">
        <f t="shared" si="6"/>
        <v>15</v>
      </c>
      <c r="C22" s="110">
        <f t="shared" si="2"/>
        <v>15</v>
      </c>
      <c r="D22" s="111" t="str">
        <f t="shared" si="3"/>
        <v>DA Arrear 53 to 55%</v>
      </c>
      <c r="E22" s="112" t="str">
        <f>IFERROR(IF(D22="","",IF(AND(BQ26=""),"",IF(AND('Master Data'!$I$29='GA55 Check &amp; Edit'!$AP$6),VLOOKUP(D22,ram,13,0),VLOOKUP(D22,ram,4,0)))),"")</f>
        <v/>
      </c>
      <c r="F22" s="113">
        <f>IFERROR(IF(D22="","",IF(D22=$AX$24,"",IF(AND(D22=$AX$28),"",IF(AND('Master Data'!$I$29='GA55 Check &amp; Edit'!$AP$5),VLOOKUP(D22,ram,7,0),"")))),"")</f>
        <v>2280</v>
      </c>
      <c r="G22" s="113" t="str">
        <f>IFERROR(IF(D22="","",IF(D22=$AX$24,"",IF(AND(D22=$AX$25),"",IF(AND(D22=$AX$26),"",IF(AND(D22=$AX$27),"",IF(AND(D22=$AX$28),"",IF(AND(D22=$AX$29),"",IF(AND('Master Data'!$I$29='GA55 Check &amp; Edit'!$AP$6),"",VLOOKUP(D22,ram,8,0))))))))),"")</f>
        <v/>
      </c>
      <c r="H22" s="113" t="str">
        <f>IFERROR(IF(D22="","",IF(AND(E22=""),"",IF(OR(D22=$AX$24,D22=$AX$25,D22=$AX$26,D22=$AX$27,D22=$AX$28,D22=$AX$29),"",IF(AND('Master Data'!$I$29='GA55 Check &amp; Edit'!$AP$5),'Master Data'!$B$44,"")))),"")</f>
        <v/>
      </c>
      <c r="I22" s="113" t="str">
        <f>IFERROR(IF(D22="","",IF(AND(E22=""),"",IF(OR(D22=$AX$24,D22=$AX$25,D22=$AX$26,D22=$AX$27,D22=$AX$28,D22=$AX$29),"",IF(AND('Master Data'!$I$29='GA55 Check &amp; Edit'!$AP$5,'Master Data'!$E$29='GA55 Check &amp; Edit'!$AO$5),'Master Data'!$E$31,"0")))),"")</f>
        <v/>
      </c>
      <c r="J22" s="113" t="str">
        <f>IFERROR(IF(OR('Master Data'!$E$33=$AO$6,'Master Data'!$E$33=""),"",IF(D22="","",IF(AND(E22=""),"",IF(OR(D22=$AX$24,D22=$AX$25,D22=$AX$26,D22=$AX$27,D22=$AX$28,D22=$AX$29),"",IF(AND('Master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2" s="113" t="str">
        <f>IFERROR(IF(D22="","",IF(AND(E22=""),"",IF(OR(D22=$AX$24,D22=$AX$25,D22=$AX$26,D22=$AX$27,D22=$AX$28,D22=$AX$29),"",IF(AND('Master Data'!$I$29='GA55 Check &amp; Edit'!$AP$5),'Master Data'!$C$44,"")))),"")</f>
        <v/>
      </c>
      <c r="L22" s="113" t="str">
        <f>IFERROR(IF(D22="","",IF(AND(E22=""),"",IF(OR(D22=$AX$24,D22=$AX$25,D22=$AX$26,D22=$AX$27,D22=$AX$28,D22=$AX$29),"",IF(AND('Master Data'!$I$29='GA55 Check &amp; Edit'!$AP$6),"",'Master Data'!$D$44)))),"")</f>
        <v/>
      </c>
      <c r="M22" s="113" t="str">
        <f>IFERROR(IF(D22="","",IF(AND(E22=""),"",IF(OR(D22=$AX$24,D22=$AX$25,D22=$AX$26,D22=$AX$27,D22=$AX$28,D22=$AX$29),"",IF(AND('Master Data'!$I$29='GA55 Check &amp; Edit'!$AP$6),"",'Master Data'!$E$44)))),"")</f>
        <v/>
      </c>
      <c r="N22" s="113" t="str">
        <f>IFERROR(IF(D22="","",IF(AND('Master Data'!$I$29='GA55 Check &amp; Edit'!$AP$6),"",IF(AND('Master Data'!$I$25='GA55 Check &amp; Edit'!$AO$6),"0",IF(AND(D22="Bonus"),VLOOKUP(D22,ram,4,0),"")))),"")</f>
        <v>0</v>
      </c>
      <c r="O22" s="114">
        <f>IF(D22="","",IF('Master Data'!$N$25="","",SUM(E22:N22)))</f>
        <v>2280</v>
      </c>
      <c r="P22" s="103" t="str">
        <f>IFERROR(IF(OR('Master Data'!$I$29='GA55 Check &amp; Edit'!$AP$6,D22=""),"",IF(AND(D22=$AX$24),"",IF(AND(D22=$AX$25),"",IF(AND(D22=$AX$26),"",IF(AND(D22=$AX$27),"",IF(AND(D22=$AX$28),"",IF(AND(D22=$AX$29),"",IF(AND(E22=""),"",VLOOKUP(D22,ram,11,0))))))))),"")</f>
        <v/>
      </c>
      <c r="Q22" s="102">
        <f>IFERROR(IF(AND('Master Data'!$I$29='GA55 Check &amp; Edit'!$AP$6),"",IF(AND(D22=$AX$25),"",IF(AND(D22=$AX$28),"",IF(AND(D22=$AX$29),"",IF(AND(D22=""),"",IF(AND(BB26=""),"",VLOOKUP(D22,ram,12,0))))))),"")</f>
        <v>2280</v>
      </c>
      <c r="R22" s="103" t="str">
        <f>IFERROR(IF(OR('Master Data'!$I$29='GA55 Check &amp; Edit'!$AP$6,D22=""),"",IF(AND(D22=$AX$24),"",IF(AND(D22=$AX$25),"",IF(AND(D22=$AX$26),"",IF(AND(D22=$AX$27),"",IF(AND(D22=$AX$28),"",IF(AND(D22=$AX$29),"",IF(AND(E22=""),"",'Master Data'!$I$44)))))))),"")</f>
        <v/>
      </c>
      <c r="S22" s="103" t="str">
        <f>IFERROR(IF(OR('Master Data'!$I$29='GA55 Check &amp; Edit'!$AP$6),"",IF(D22="","",IF(E22="","",IF(AND(D22=$AX$24),"",IF(AND(D22=$AX$25),"",IF(AND(D22=$AX$26),"",IF(AND(D22=$AX$27),"",IF(AND(D22=$AX$28),"",IF(AND(D22=$AX$29),"",VLOOKUP(D22,ram,10,0)))))))))),"")</f>
        <v/>
      </c>
      <c r="T22" s="103" t="str">
        <f>IFERROR(IF(OR('Master Data'!$I$29='GA55 Check &amp; Edit'!$AP$6,D22=""),"",IF(AND(D22=$AX$24),"",IF(AND(D22=$AX$25),"",IF(AND(D22=$AX$26),"",IF(AND(D22=$AX$27),"",IF(AND(D22=$AX$28),"",IF(AND(D22=$AX$29),"",IF(AND(E22=""),"",'Master Data'!$K$44)))))))),"")</f>
        <v/>
      </c>
      <c r="U22" s="103" t="str">
        <f>IFERROR(IF(OR('Master Data'!$I$29='GA55 Check &amp; Edit'!$AP$6,D22=""),"",IF(AND(D22=$AX$24),"",IF(AND(D22=$AX$25),"",IF(AND(D22=$AX$26),"",IF(AND(D22=$AX$27),"",IF(AND(D22=$AX$28),"",IF(AND(D22=$AX$29),"",IF(AND(E22=""),"",'Master Data'!$L$44)))))))),"")</f>
        <v/>
      </c>
      <c r="V22" s="103" t="str">
        <f>IFERROR(IF(OR('Master Data'!$I$29='GA55 Check &amp; Edit'!$AP$6,D22=""),"",IF(AND(D22=$AX$24),"",IF(AND(D22=$AX$25),"",IF(AND(D22=$AX$26),"",IF(AND(D22=$AX$27),"",IF(AND(D22=$AX$28),"",IF(AND(D22=$AX$29),"",IF(AND(E22=""),"",'Master Data'!$M$44)))))))),"")</f>
        <v/>
      </c>
      <c r="W22" s="103" t="str">
        <f>IFERROR(IF(OR('Master Data'!$I$29='GA55 Check &amp; Edit'!$AP$6,D22=""),"",IF(AND(D22=$AX$24),"",IF(AND(D22=$AX$25),"",IF(AND(D22=$AX$26),"",IF(AND(D22=$AX$27),"",IF(AND(D22=$AX$28),"",IF(AND(D22=$AX$29),"",IF(AND(E22=""),"",'Master Data'!$N$44)))))))),"")</f>
        <v/>
      </c>
      <c r="X22" s="103" t="str">
        <f>IFERROR(IF(OR('Master Data'!$I$29='GA55 Check &amp; Edit'!$AP$6,D22=""),"",IF(AND(E22=""),"",IF(AND('GA55 Check &amp; Edit'!D22='GA55 Check &amp; Edit'!$AT$17,'Master Data'!$D$18="Gazetted"),500,IF(AND('GA55 Check &amp; Edit'!D22='GA55 Check &amp; Edit'!$AT$17,'Master Data'!$D$18="Non-Gazetted"),250,"")))),"")</f>
        <v/>
      </c>
      <c r="Y22" s="103" t="str">
        <f>IFERROR(IF(D22="","",IF(AND(E22=""),"",IF(AND(D22=$AX$24),"",IF(AND(D22=$AX$25),"",IF(AND(D22=$AX$26),"",IF(AND(D22=$AX$27),"",IF(AND(D22=$AX$28),"",IF(AND(D22=$AX$29),"",IF(OR('Master Data'!$I$29='GA55 Check &amp; Edit'!$AP$6,D22=""),"",$Y$7))))))))),"")</f>
        <v/>
      </c>
      <c r="Z22" s="103"/>
      <c r="AA22" s="103" t="str">
        <f>IFERROR(IF(OR('Master Data'!$I$29='GA55 Check &amp; Edit'!$AP$6,D22="",'Master Data'!$N$35=""),"",IF(AND(E22=""),"",IF('GA55 Check &amp; Edit'!D22='GA55 Check &amp; Edit'!$AT$9,'Master Data'!$N$35,""))),"")</f>
        <v/>
      </c>
      <c r="AB22" s="115">
        <f t="shared" si="4"/>
        <v>2280</v>
      </c>
      <c r="AC22" s="116">
        <f t="shared" si="5"/>
        <v>0</v>
      </c>
      <c r="AD22" s="117"/>
      <c r="AE22" s="118"/>
      <c r="AF22" s="1"/>
      <c r="AG22" s="108"/>
      <c r="AH22" s="109"/>
      <c r="AI22" s="109"/>
      <c r="AJ22" s="109"/>
      <c r="AK22" s="109"/>
      <c r="AL22" s="109"/>
      <c r="AM22" s="54"/>
      <c r="AN22" s="54"/>
      <c r="AO22" s="54"/>
      <c r="AP22" s="54"/>
      <c r="AQ22" s="54"/>
      <c r="AR22" s="54"/>
      <c r="AS22" s="54"/>
      <c r="AT22" s="54"/>
      <c r="AU22" s="54" t="s">
        <v>85</v>
      </c>
      <c r="AV22" s="54"/>
      <c r="AW22" s="125" t="s">
        <v>55</v>
      </c>
      <c r="AX22" s="89">
        <v>46023.0</v>
      </c>
      <c r="AY22" s="54">
        <v>1.0</v>
      </c>
      <c r="AZ22" s="55">
        <f>IF('Master Data'!N31="","",'Master Data'!N31)</f>
        <v>39100</v>
      </c>
      <c r="BA22" s="55">
        <f>IF(AND('Master Data'!$N$25=""),"",IF(AND('Master Data'!$N$27='GA55 Check &amp; Edit'!$AP$6),'GA55 Check &amp; Edit'!$AZ$15,BU22))</f>
        <v>39100</v>
      </c>
      <c r="BB22" s="55">
        <f t="shared" si="7"/>
        <v>39100</v>
      </c>
      <c r="BC22" s="54">
        <f>IF(AND('Master Data'!$N$25=""),"",ROUND(58%*BA22,0))</f>
        <v>22678</v>
      </c>
      <c r="BD22" s="54">
        <f t="shared" si="8"/>
        <v>22678</v>
      </c>
      <c r="BE22" s="126">
        <f>IFERROR(IF(AND('Master Data'!$N$25=""),"",ROUND('Master Data'!$E$35%*BB22,0)),"")</f>
        <v>3910</v>
      </c>
      <c r="BF22" s="55">
        <f>'Master Data'!L48</f>
        <v>0</v>
      </c>
      <c r="BG22" s="55">
        <f>IFERROR(IF(OR('Master Data'!$I$29='GA55 Check &amp; Edit'!$AP$6),"",IF('Master Data'!$I$31="GPF-2004",IF(BB22&lt;18001,265,IF(BB22&lt;33501,440,IF(BB22&lt;54001,658,875))),IF(AND('Master Data'!$I$31="GPF",'Master Data'!$J$44=""),IF(BB22&lt;18001,265,IF(BB22&lt;33501,440,IF(BB22&lt;54001,658,875))),'Master Data'!$J$44))),"")</f>
        <v>658</v>
      </c>
      <c r="BH22" s="54" t="str">
        <f>IFERROR(IF(OR('Master Data'!$I$29='GA55 Check &amp; Edit'!$AP$6),"",'Master Data'!$G$44),"")</f>
        <v/>
      </c>
      <c r="BI22" s="127">
        <f>IFERROR(IF(OR('Master Data'!$I$29='GA55 Check &amp; Edit'!$AP$6),"",IF('Master Data'!$I$31="GPF-2004",IF(BB22&lt;23101,1450,IF(BB22&lt;28501,1625,IF(BB22&lt;38501,2100,IF(BB22&lt;51501,2850,IF(BB22&lt;62001,3575,IF(BB22&lt;72001,4200,IF(BB22&lt;80001,4800,IF(BB22&lt;116001,6150,IF(BB22&lt;167001,8900,10500))))))))),'Master Data'!$H$44)),"")</f>
        <v>2850</v>
      </c>
      <c r="BJ22" s="55">
        <f t="shared" si="15"/>
        <v>39100</v>
      </c>
      <c r="BK22" s="130">
        <v>46023.0</v>
      </c>
      <c r="BL22" s="130">
        <f>IFERROR(IF('Master Data'!$N$25="","",IF('Master Data'!$F$41="","",IF(AND($AZ$17&gt;$AZ$9),"",DATE(YEAR(BL21),MONTH(BL21)+1,DAY(BL21))))),"")</f>
        <v>46023</v>
      </c>
      <c r="BM22" s="130">
        <f>IFERROR(IF('Master Data'!$N$25="","",IF('Master Data'!$F$41="","",IF(AND($AZ$17&gt;$AZ$9),"",DATE(YEAR(BM21),MONTH(BM21)+1,DAY(BM21))))),"")</f>
        <v>46023</v>
      </c>
      <c r="BN22" s="130">
        <f t="shared" si="10"/>
        <v>46023</v>
      </c>
      <c r="BO22" s="130">
        <f t="shared" si="14"/>
        <v>46023</v>
      </c>
      <c r="BP22" s="130"/>
      <c r="BQ22" s="130">
        <f t="shared" si="11"/>
        <v>46023</v>
      </c>
      <c r="BR22" s="130"/>
      <c r="BS22" s="55"/>
      <c r="BT22" s="55"/>
      <c r="BU22" s="55">
        <f>IF(AND('Master Data'!$N$25=""),"",IF(AND('Master Data'!$N$27='GA55 Check &amp; Edit'!AX22),'Master Data'!$N$31,BU21))</f>
        <v>39100</v>
      </c>
      <c r="BV22" s="130"/>
      <c r="BW22" s="54"/>
      <c r="BX22" s="55">
        <f t="shared" si="13"/>
        <v>0</v>
      </c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109"/>
      <c r="CJ22" s="109"/>
      <c r="CK22" s="109"/>
      <c r="CL22" s="109"/>
      <c r="CM22" s="109"/>
      <c r="CN22" s="109"/>
      <c r="CO22" s="109"/>
      <c r="CP22" s="108"/>
      <c r="CQ22" s="108"/>
      <c r="CR22" s="108"/>
      <c r="CS22" s="108"/>
      <c r="CT22" s="108"/>
    </row>
    <row r="23" ht="21.0" customHeight="1">
      <c r="A23" s="1">
        <f t="shared" si="1"/>
        <v>0</v>
      </c>
      <c r="B23" s="96">
        <f t="shared" si="6"/>
        <v>16</v>
      </c>
      <c r="C23" s="110">
        <f t="shared" si="2"/>
        <v>16</v>
      </c>
      <c r="D23" s="111" t="str">
        <f t="shared" si="3"/>
        <v>DA Arrear 55% to 58%</v>
      </c>
      <c r="E23" s="112" t="str">
        <f>IFERROR(IF(D23="","",IF(AND(BQ27=""),"",IF(AND('Master Data'!$I$29='GA55 Check &amp; Edit'!$AP$6),VLOOKUP(D23,ram,13,0),VLOOKUP(D23,ram,4,0)))),"")</f>
        <v/>
      </c>
      <c r="F23" s="113">
        <f>IFERROR(IF(D23="","",IF(D23=$AX$24,"",IF(AND(D23=$AX$28),"",IF(AND('Master Data'!$I$29='GA55 Check &amp; Edit'!$AP$5),VLOOKUP(D23,ram,7,0),"")))),"")</f>
        <v>3519</v>
      </c>
      <c r="G23" s="113" t="str">
        <f>IFERROR(IF(D23="","",IF(D23=$AX$24,"",IF(AND(D23=$AX$25),"",IF(AND(D23=$AX$26),"",IF(AND(D23=$AX$27),"",IF(AND(D23=$AX$28),"",IF(AND(D23=$AX$29),"",IF(AND('Master Data'!$I$29='GA55 Check &amp; Edit'!$AP$6),"",VLOOKUP(D23,ram,8,0))))))))),"")</f>
        <v/>
      </c>
      <c r="H23" s="113" t="str">
        <f>IFERROR(IF(D23="","",IF(AND(E23=""),"",IF(OR(D23=$AX$24,D23=$AX$25,D23=$AX$26,D23=$AX$27,D23=$AX$28,D23=$AX$29),"",IF(AND('Master Data'!$I$29='GA55 Check &amp; Edit'!$AP$5),'Master Data'!$B$44,"")))),"")</f>
        <v/>
      </c>
      <c r="I23" s="113" t="str">
        <f>IFERROR(IF(D23="","",IF(AND(E23=""),"",IF(OR(D23=$AX$24,D23=$AX$25,D23=$AX$26,D23=$AX$27,D23=$AX$28,D23=$AX$29),"",IF(AND('Master Data'!$I$29='GA55 Check &amp; Edit'!$AP$5,'Master Data'!$E$29='GA55 Check &amp; Edit'!$AO$5),'Master Data'!$E$31,"0")))),"")</f>
        <v/>
      </c>
      <c r="J23" s="113" t="str">
        <f>IFERROR(IF(OR('Master Data'!$E$33=$AO$6,'Master Data'!$E$33=""),"",IF(D23="","",IF(AND(E23=""),"",IF(OR(D23=$AX$24,D23=$AX$25,D23=$AX$26,D23=$AX$27,D23=$AX$28,D23=$AX$29),"",IF(AND('Master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3" s="113" t="str">
        <f>IFERROR(IF(D23="","",IF(AND(E23=""),"",IF(OR(D23=$AX$24,D23=$AX$25,D23=$AX$26,D23=$AX$27,D23=$AX$28,D23=$AX$29),"",IF(AND('Master Data'!$I$29='GA55 Check &amp; Edit'!$AP$5),'Master Data'!$C$44,"")))),"")</f>
        <v/>
      </c>
      <c r="L23" s="113" t="str">
        <f>IFERROR(IF(D23="","",IF(AND(E23=""),"",IF(OR(D23=$AX$24,D23=$AX$25,D23=$AX$26,D23=$AX$27,D23=$AX$28,D23=$AX$29),"",IF(AND('Master Data'!$I$29='GA55 Check &amp; Edit'!$AP$6),"",'Master Data'!$D$44)))),"")</f>
        <v/>
      </c>
      <c r="M23" s="113" t="str">
        <f>IFERROR(IF(D23="","",IF(AND(E23=""),"",IF(OR(D23=$AX$24,D23=$AX$25,D23=$AX$26,D23=$AX$27,D23=$AX$28,D23=$AX$29),"",IF(AND('Master Data'!$I$29='GA55 Check &amp; Edit'!$AP$6),"",'Master Data'!$E$44)))),"")</f>
        <v/>
      </c>
      <c r="N23" s="113" t="str">
        <f>IFERROR(IF(D23="","",IF(AND('Master Data'!$I$29='GA55 Check &amp; Edit'!$AP$6),"",IF(AND('Master Data'!$I$25='GA55 Check &amp; Edit'!$AO$6),"0",IF(AND(D23="Bonus"),VLOOKUP(D23,ram,4,0),"")))),"")</f>
        <v>0</v>
      </c>
      <c r="O23" s="114">
        <f>IF(D23="","",IF('Master Data'!$N$25="","",SUM(E23:N23)))</f>
        <v>3519</v>
      </c>
      <c r="P23" s="103" t="str">
        <f>IFERROR(IF(OR('Master Data'!$I$29='GA55 Check &amp; Edit'!$AP$6,D23=""),"",IF(AND(D23=$AX$24),"",IF(AND(D23=$AX$25),"",IF(AND(D23=$AX$26),"",IF(AND(D23=$AX$27),"",IF(AND(D23=$AX$28),"",IF(AND(D23=$AX$29),"",IF(AND(E23=""),"",VLOOKUP(D23,ram,11,0))))))))),"")</f>
        <v/>
      </c>
      <c r="Q23" s="102">
        <f>IFERROR(IF(AND('Master Data'!$I$29='GA55 Check &amp; Edit'!$AP$6),"",IF(AND(D23=$AX$25),"",IF(AND(D23=$AX$28),"",IF(AND(D23=$AX$29),"",IF(AND(D23=""),"",IF(AND(BB27=""),"",VLOOKUP(D23,ram,12,0))))))),"")</f>
        <v>3519</v>
      </c>
      <c r="R23" s="103" t="str">
        <f>IFERROR(IF(OR('Master Data'!$I$29='GA55 Check &amp; Edit'!$AP$6,D23=""),"",IF(AND(D23=$AX$24),"",IF(AND(D23=$AX$25),"",IF(AND(D23=$AX$26),"",IF(AND(D23=$AX$27),"",IF(AND(D23=$AX$28),"",IF(AND(D23=$AX$29),"",IF(AND(E23=""),"",'Master Data'!$I$44)))))))),"")</f>
        <v/>
      </c>
      <c r="S23" s="103" t="str">
        <f>IFERROR(IF(OR('Master Data'!$I$29='GA55 Check &amp; Edit'!$AP$6),"",IF(D23="","",IF(E23="","",IF(AND(D23=$AX$24),"",IF(AND(D23=$AX$25),"",IF(AND(D23=$AX$26),"",IF(AND(D23=$AX$27),"",IF(AND(D23=$AX$28),"",IF(AND(D23=$AX$29),"",VLOOKUP(D23,ram,10,0)))))))))),"")</f>
        <v/>
      </c>
      <c r="T23" s="103" t="str">
        <f>IFERROR(IF(OR('Master Data'!$I$29='GA55 Check &amp; Edit'!$AP$6,D23=""),"",IF(AND(D23=$AX$24),"",IF(AND(D23=$AX$25),"",IF(AND(D23=$AX$26),"",IF(AND(D23=$AX$27),"",IF(AND(D23=$AX$28),"",IF(AND(D23=$AX$29),"",IF(AND(E23=""),"",'Master Data'!$K$44)))))))),"")</f>
        <v/>
      </c>
      <c r="U23" s="103" t="str">
        <f>IFERROR(IF(OR('Master Data'!$I$29='GA55 Check &amp; Edit'!$AP$6,D23=""),"",IF(AND(D23=$AX$24),"",IF(AND(D23=$AX$25),"",IF(AND(D23=$AX$26),"",IF(AND(D23=$AX$27),"",IF(AND(D23=$AX$28),"",IF(AND(D23=$AX$29),"",IF(AND(E23=""),"",'Master Data'!$L$44)))))))),"")</f>
        <v/>
      </c>
      <c r="V23" s="103" t="str">
        <f>IFERROR(IF(OR('Master Data'!$I$29='GA55 Check &amp; Edit'!$AP$6,D23=""),"",IF(AND(D23=$AX$24),"",IF(AND(D23=$AX$25),"",IF(AND(D23=$AX$26),"",IF(AND(D23=$AX$27),"",IF(AND(D23=$AX$28),"",IF(AND(D23=$AX$29),"",IF(AND(E23=""),"",'Master Data'!$M$44)))))))),"")</f>
        <v/>
      </c>
      <c r="W23" s="103" t="str">
        <f>IFERROR(IF(OR('Master Data'!$I$29='GA55 Check &amp; Edit'!$AP$6,D23=""),"",IF(AND(D23=$AX$24),"",IF(AND(D23=$AX$25),"",IF(AND(D23=$AX$26),"",IF(AND(D23=$AX$27),"",IF(AND(D23=$AX$28),"",IF(AND(D23=$AX$29),"",IF(AND(E23=""),"",'Master Data'!$N$44)))))))),"")</f>
        <v/>
      </c>
      <c r="X23" s="103" t="str">
        <f>IFERROR(IF(OR('Master Data'!$I$29='GA55 Check &amp; Edit'!$AP$6,D23=""),"",IF(AND(E23=""),"",IF(AND('GA55 Check &amp; Edit'!D23='GA55 Check &amp; Edit'!$AT$17,'Master Data'!$D$18="Gazetted"),500,IF(AND('GA55 Check &amp; Edit'!D23='GA55 Check &amp; Edit'!$AT$17,'Master Data'!$D$18="Non-Gazetted"),250,"")))),"")</f>
        <v/>
      </c>
      <c r="Y23" s="103" t="str">
        <f>IFERROR(IF(D23="","",IF(AND(E23=""),"",IF(AND(D23=$AX$24),"",IF(AND(D23=$AX$25),"",IF(AND(D23=$AX$26),"",IF(AND(D23=$AX$27),"",IF(AND(D23=$AX$28),"",IF(AND(D23=$AX$29),"",IF(OR('Master Data'!$I$29='GA55 Check &amp; Edit'!$AP$6,D23=""),"",$Y$7))))))))),"")</f>
        <v/>
      </c>
      <c r="Z23" s="103"/>
      <c r="AA23" s="103" t="str">
        <f>IFERROR(IF(OR('Master Data'!$I$29='GA55 Check &amp; Edit'!$AP$6,D23="",'Master Data'!$N$35=""),"",IF(AND(E23=""),"",IF('GA55 Check &amp; Edit'!D23='GA55 Check &amp; Edit'!$AT$9,'Master Data'!$N$35,""))),"")</f>
        <v/>
      </c>
      <c r="AB23" s="115">
        <f t="shared" si="4"/>
        <v>3519</v>
      </c>
      <c r="AC23" s="116">
        <f t="shared" si="5"/>
        <v>0</v>
      </c>
      <c r="AD23" s="117"/>
      <c r="AE23" s="118"/>
      <c r="AF23" s="1"/>
      <c r="AG23" s="108"/>
      <c r="AH23" s="109"/>
      <c r="AI23" s="109"/>
      <c r="AJ23" s="109"/>
      <c r="AK23" s="109"/>
      <c r="AL23" s="109"/>
      <c r="AM23" s="54"/>
      <c r="AN23" s="54"/>
      <c r="AO23" s="54"/>
      <c r="AP23" s="54"/>
      <c r="AQ23" s="54"/>
      <c r="AR23" s="54">
        <f>IF('Master Data'!I39&lt;'GA55 Check &amp; Edit'!AX16,MROUND('Master Data'!N25*1.03,100),MROUND(AZ15*1.03,100))</f>
        <v>39100</v>
      </c>
      <c r="AS23" s="54"/>
      <c r="AT23" s="54"/>
      <c r="AU23" s="54" t="s">
        <v>86</v>
      </c>
      <c r="AV23" s="54"/>
      <c r="AW23" s="125" t="s">
        <v>58</v>
      </c>
      <c r="AX23" s="89">
        <v>46054.0</v>
      </c>
      <c r="AY23" s="54">
        <v>2.0</v>
      </c>
      <c r="AZ23" s="54"/>
      <c r="BA23" s="55">
        <f>IF(AND('Master Data'!$N$25=""),"",IF(AND('Master Data'!$N$27='GA55 Check &amp; Edit'!$AP$6),'GA55 Check &amp; Edit'!$AZ$15,BU23))</f>
        <v>39100</v>
      </c>
      <c r="BB23" s="55">
        <f t="shared" si="7"/>
        <v>39100</v>
      </c>
      <c r="BC23" s="54">
        <f>IF(AND('Master Data'!$N$25=""),"",ROUND(58%*BA23,0))</f>
        <v>22678</v>
      </c>
      <c r="BD23" s="54">
        <f t="shared" si="8"/>
        <v>22678</v>
      </c>
      <c r="BE23" s="126">
        <f>IFERROR(IF(AND('Master Data'!$N$25=""),"",ROUND('Master Data'!$E$35%*BB23,0)),"")</f>
        <v>3910</v>
      </c>
      <c r="BF23" s="55">
        <f>'Master Data'!M48</f>
        <v>0</v>
      </c>
      <c r="BG23" s="55">
        <f>IFERROR(IF(OR('Master Data'!$I$29='GA55 Check &amp; Edit'!$AP$6),"",IF('Master Data'!$I$31="GPF-2004",IF(BB23&lt;18001,265,IF(BB23&lt;33501,440,IF(BB23&lt;54001,658,875))),IF(AND('Master Data'!$I$31="GPF",'Master Data'!$J$44=""),IF(BB23&lt;18001,265,IF(BB23&lt;33501,440,IF(BB23&lt;54001,658,875))),'Master Data'!$J$44))),"")</f>
        <v>658</v>
      </c>
      <c r="BH23" s="54" t="str">
        <f>IFERROR(IF(OR('Master Data'!$I$29='GA55 Check &amp; Edit'!$AP$6),"",'Master Data'!$G$44),"")</f>
        <v/>
      </c>
      <c r="BI23" s="127">
        <f>IFERROR(IF(OR('Master Data'!$I$29='GA55 Check &amp; Edit'!$AP$6),"",IF('Master Data'!$I$31="GPF-2004",IF(BB23&lt;23101,1450,IF(BB23&lt;28501,1625,IF(BB23&lt;38501,2100,IF(BB23&lt;51501,2850,IF(BB23&lt;62001,3575,IF(BB23&lt;72001,4200,IF(BB23&lt;80001,4800,IF(BB23&lt;116001,6150,IF(BB23&lt;167001,8900,10500))))))))),'Master Data'!$H$44)),"")</f>
        <v>2850</v>
      </c>
      <c r="BJ23" s="55">
        <f t="shared" si="15"/>
        <v>39100</v>
      </c>
      <c r="BK23" s="130">
        <v>46054.0</v>
      </c>
      <c r="BL23" s="130">
        <f>IFERROR(IF('Master Data'!$N$25="","",IF('Master Data'!$F$41="","",IF(AND($AZ$17&gt;$AZ$9),"",DATE(YEAR(BL22),MONTH(BL22)+1,DAY(BL22))))),"")</f>
        <v>46054</v>
      </c>
      <c r="BM23" s="130">
        <f>IFERROR(IF('Master Data'!$N$25="","",IF('Master Data'!$F$41="","",IF(AND($AZ$17&gt;$AZ$9),"",DATE(YEAR(BM22),MONTH(BM22)+1,DAY(BM22))))),"")</f>
        <v>46054</v>
      </c>
      <c r="BN23" s="130">
        <f t="shared" si="10"/>
        <v>46054</v>
      </c>
      <c r="BO23" s="130">
        <f t="shared" si="14"/>
        <v>46054</v>
      </c>
      <c r="BP23" s="130"/>
      <c r="BQ23" s="130">
        <f t="shared" si="11"/>
        <v>46054</v>
      </c>
      <c r="BR23" s="130"/>
      <c r="BS23" s="55"/>
      <c r="BT23" s="55"/>
      <c r="BU23" s="55">
        <f>IF(AND('Master Data'!$N$25=""),"",IF(AND('Master Data'!$N$27='GA55 Check &amp; Edit'!AX23),'Master Data'!$N$31,BU22))</f>
        <v>39100</v>
      </c>
      <c r="BV23" s="130"/>
      <c r="BW23" s="54"/>
      <c r="BX23" s="55">
        <f t="shared" si="13"/>
        <v>0</v>
      </c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109"/>
      <c r="CJ23" s="109"/>
      <c r="CK23" s="109"/>
      <c r="CL23" s="109"/>
      <c r="CM23" s="109"/>
      <c r="CN23" s="109"/>
      <c r="CO23" s="109"/>
      <c r="CP23" s="108"/>
      <c r="CQ23" s="108"/>
      <c r="CR23" s="108"/>
      <c r="CS23" s="108"/>
      <c r="CT23" s="108"/>
    </row>
    <row r="24" ht="21.0" customHeight="1">
      <c r="A24" s="1">
        <f t="shared" si="1"/>
        <v>1</v>
      </c>
      <c r="B24" s="96">
        <f t="shared" si="6"/>
        <v>17</v>
      </c>
      <c r="C24" s="110">
        <f t="shared" si="2"/>
        <v>17</v>
      </c>
      <c r="D24" s="111" t="str">
        <f t="shared" si="3"/>
        <v>ACP/MACP Arrear</v>
      </c>
      <c r="E24" s="112" t="str">
        <f>IFERROR(IF(D24="","",IF(AND(BQ28=""),"",IF(AND('Master Data'!$I$29='GA55 Check &amp; Edit'!$AP$6),VLOOKUP(D24,ram,13,0),VLOOKUP(D24,ram,4,0)))),"")</f>
        <v/>
      </c>
      <c r="F24" s="113" t="str">
        <f>IFERROR(IF(D24="","",IF(D24=$AX$24,"",IF(AND(D24=$AX$28),"",IF(AND('Master Data'!$I$29='GA55 Check &amp; Edit'!$AP$5),VLOOKUP(D24,ram,7,0),"")))),"")</f>
        <v/>
      </c>
      <c r="G24" s="113" t="str">
        <f>IFERROR(IF(D24="","",IF(D24=$AX$24,"",IF(AND(D24=$AX$25),"",IF(AND(D24=$AX$26),"",IF(AND(D24=$AX$27),"",IF(AND(D24=$AX$28),"",IF(AND(D24=$AX$29),"",IF(AND('Master Data'!$I$29='GA55 Check &amp; Edit'!$AP$6),"",VLOOKUP(D24,ram,8,0))))))))),"")</f>
        <v/>
      </c>
      <c r="H24" s="113" t="str">
        <f>IFERROR(IF(D24="","",IF(AND(E24=""),"",IF(OR(D24=$AX$24,D24=$AX$25,D24=$AX$26,D24=$AX$27,D24=$AX$28,D24=$AX$29),"",IF(AND('Master Data'!$I$29='GA55 Check &amp; Edit'!$AP$5),'Master Data'!$B$44,"")))),"")</f>
        <v/>
      </c>
      <c r="I24" s="113" t="str">
        <f>IFERROR(IF(D24="","",IF(AND(E24=""),"",IF(OR(D24=$AX$24,D24=$AX$25,D24=$AX$26,D24=$AX$27,D24=$AX$28,D24=$AX$29),"",IF(AND('Master Data'!$I$29='GA55 Check &amp; Edit'!$AP$5,'Master Data'!$E$29='GA55 Check &amp; Edit'!$AO$5),'Master Data'!$E$31,"0")))),"")</f>
        <v/>
      </c>
      <c r="J24" s="113" t="str">
        <f>IFERROR(IF(OR('Master Data'!$E$33=$AO$6,'Master Data'!$E$33=""),"",IF(D24="","",IF(AND(E24=""),"",IF(OR(D24=$AX$24,D24=$AX$25,D24=$AX$26,D24=$AX$27,D24=$AX$28,D24=$AX$29),"",IF(AND('Master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4" s="113" t="str">
        <f>IFERROR(IF(D24="","",IF(AND(E24=""),"",IF(OR(D24=$AX$24,D24=$AX$25,D24=$AX$26,D24=$AX$27,D24=$AX$28,D24=$AX$29),"",IF(AND('Master Data'!$I$29='GA55 Check &amp; Edit'!$AP$5),'Master Data'!$C$44,"")))),"")</f>
        <v/>
      </c>
      <c r="L24" s="113" t="str">
        <f>IFERROR(IF(D24="","",IF(AND(E24=""),"",IF(OR(D24=$AX$24,D24=$AX$25,D24=$AX$26,D24=$AX$27,D24=$AX$28,D24=$AX$29),"",IF(AND('Master Data'!$I$29='GA55 Check &amp; Edit'!$AP$6),"",'Master Data'!$D$44)))),"")</f>
        <v/>
      </c>
      <c r="M24" s="113" t="str">
        <f>IFERROR(IF(D24="","",IF(AND(E24=""),"",IF(OR(D24=$AX$24,D24=$AX$25,D24=$AX$26,D24=$AX$27,D24=$AX$28,D24=$AX$29),"",IF(AND('Master Data'!$I$29='GA55 Check &amp; Edit'!$AP$6),"",'Master Data'!$E$44)))),"")</f>
        <v/>
      </c>
      <c r="N24" s="113" t="str">
        <f>IFERROR(IF(D24="","",IF(AND('Master Data'!$I$29='GA55 Check &amp; Edit'!$AP$6),"",IF(AND('Master Data'!$I$25='GA55 Check &amp; Edit'!$AO$6),"0",IF(AND(D24="Bonus"),VLOOKUP(D24,ram,4,0),"")))),"")</f>
        <v>0</v>
      </c>
      <c r="O24" s="114">
        <f>IF(D24="","",IF('Master Data'!$N$25="","",SUM(E24:N24)))</f>
        <v>0</v>
      </c>
      <c r="P24" s="103" t="str">
        <f>IFERROR(IF(OR('Master Data'!$I$29='GA55 Check &amp; Edit'!$AP$6,D24=""),"",IF(AND(D24=$AX$24),"",IF(AND(D24=$AX$25),"",IF(AND(D24=$AX$26),"",IF(AND(D24=$AX$27),"",IF(AND(D24=$AX$28),"",IF(AND(D24=$AX$29),"",IF(AND(E24=""),"",VLOOKUP(D24,ram,11,0))))))))),"")</f>
        <v/>
      </c>
      <c r="Q24" s="102" t="str">
        <f>IFERROR(IF(AND('Master Data'!$I$29='GA55 Check &amp; Edit'!$AP$6),"",IF(AND(D24=$AX$25),"",IF(AND(D24=$AX$28),"",IF(AND(D24=$AX$29),"",IF(AND(D24=""),"",IF(AND(BB28=""),"",VLOOKUP(D24,ram,12,0))))))),"")</f>
        <v/>
      </c>
      <c r="R24" s="103" t="str">
        <f>IFERROR(IF(OR('Master Data'!$I$29='GA55 Check &amp; Edit'!$AP$6,D24=""),"",IF(AND(D24=$AX$24),"",IF(AND(D24=$AX$25),"",IF(AND(D24=$AX$26),"",IF(AND(D24=$AX$27),"",IF(AND(D24=$AX$28),"",IF(AND(D24=$AX$29),"",IF(AND(E24=""),"",'Master Data'!$I$44)))))))),"")</f>
        <v/>
      </c>
      <c r="S24" s="103" t="str">
        <f>IFERROR(IF(OR('Master Data'!$I$29='GA55 Check &amp; Edit'!$AP$6),"",IF(D24="","",IF(E24="","",IF(AND(D24=$AX$24),"",IF(AND(D24=$AX$25),"",IF(AND(D24=$AX$26),"",IF(AND(D24=$AX$27),"",IF(AND(D24=$AX$28),"",IF(AND(D24=$AX$29),"",VLOOKUP(D24,ram,10,0)))))))))),"")</f>
        <v/>
      </c>
      <c r="T24" s="103" t="str">
        <f>IFERROR(IF(OR('Master Data'!$I$29='GA55 Check &amp; Edit'!$AP$6,D24=""),"",IF(AND(D24=$AX$24),"",IF(AND(D24=$AX$25),"",IF(AND(D24=$AX$26),"",IF(AND(D24=$AX$27),"",IF(AND(D24=$AX$28),"",IF(AND(D24=$AX$29),"",IF(AND(E24=""),"",'Master Data'!$K$44)))))))),"")</f>
        <v/>
      </c>
      <c r="U24" s="103" t="str">
        <f>IFERROR(IF(OR('Master Data'!$I$29='GA55 Check &amp; Edit'!$AP$6,D24=""),"",IF(AND(D24=$AX$24),"",IF(AND(D24=$AX$25),"",IF(AND(D24=$AX$26),"",IF(AND(D24=$AX$27),"",IF(AND(D24=$AX$28),"",IF(AND(D24=$AX$29),"",IF(AND(E24=""),"",'Master Data'!$L$44)))))))),"")</f>
        <v/>
      </c>
      <c r="V24" s="103" t="str">
        <f>IFERROR(IF(OR('Master Data'!$I$29='GA55 Check &amp; Edit'!$AP$6,D24=""),"",IF(AND(D24=$AX$24),"",IF(AND(D24=$AX$25),"",IF(AND(D24=$AX$26),"",IF(AND(D24=$AX$27),"",IF(AND(D24=$AX$28),"",IF(AND(D24=$AX$29),"",IF(AND(E24=""),"",'Master Data'!$M$44)))))))),"")</f>
        <v/>
      </c>
      <c r="W24" s="103" t="str">
        <f>IFERROR(IF(OR('Master Data'!$I$29='GA55 Check &amp; Edit'!$AP$6,D24=""),"",IF(AND(D24=$AX$24),"",IF(AND(D24=$AX$25),"",IF(AND(D24=$AX$26),"",IF(AND(D24=$AX$27),"",IF(AND(D24=$AX$28),"",IF(AND(D24=$AX$29),"",IF(AND(E24=""),"",'Master Data'!$N$44)))))))),"")</f>
        <v/>
      </c>
      <c r="X24" s="103" t="str">
        <f>IFERROR(IF(OR('Master Data'!$I$29='GA55 Check &amp; Edit'!$AP$6,D24=""),"",IF(AND(E24=""),"",IF(AND('GA55 Check &amp; Edit'!D24='GA55 Check &amp; Edit'!$AT$17,'Master Data'!$D$18="Gazetted"),500,IF(AND('GA55 Check &amp; Edit'!D24='GA55 Check &amp; Edit'!$AT$17,'Master Data'!$D$18="Non-Gazetted"),250,"")))),"")</f>
        <v/>
      </c>
      <c r="Y24" s="103" t="str">
        <f>IFERROR(IF(D24="","",IF(AND(E24=""),"",IF(AND(D24=$AX$24),"",IF(AND(D24=$AX$25),"",IF(AND(D24=$AX$26),"",IF(AND(D24=$AX$27),"",IF(AND(D24=$AX$28),"",IF(AND(D24=$AX$29),"",IF(OR('Master Data'!$I$29='GA55 Check &amp; Edit'!$AP$6,D24=""),"",$Y$7))))))))),"")</f>
        <v/>
      </c>
      <c r="Z24" s="103"/>
      <c r="AA24" s="103" t="str">
        <f>IFERROR(IF(OR('Master Data'!$I$29='GA55 Check &amp; Edit'!$AP$6,D24="",'Master Data'!$N$35=""),"",IF(AND(E24=""),"",IF('GA55 Check &amp; Edit'!D24='GA55 Check &amp; Edit'!$AT$9,'Master Data'!$N$35,""))),"")</f>
        <v/>
      </c>
      <c r="AB24" s="115">
        <f t="shared" si="4"/>
        <v>0</v>
      </c>
      <c r="AC24" s="116">
        <f t="shared" si="5"/>
        <v>0</v>
      </c>
      <c r="AD24" s="117"/>
      <c r="AE24" s="118"/>
      <c r="AF24" s="1"/>
      <c r="AG24" s="108"/>
      <c r="AH24" s="109"/>
      <c r="AI24" s="109"/>
      <c r="AJ24" s="109"/>
      <c r="AK24" s="109"/>
      <c r="AL24" s="109"/>
      <c r="AM24" s="54"/>
      <c r="AN24" s="54"/>
      <c r="AO24" s="54"/>
      <c r="AP24" s="54"/>
      <c r="AQ24" s="54"/>
      <c r="AR24" s="54"/>
      <c r="AS24" s="54">
        <f>MROUND('Master Data'!N25*1.03,100)</f>
        <v>39100</v>
      </c>
      <c r="AT24" s="54"/>
      <c r="AU24" s="54" t="s">
        <v>87</v>
      </c>
      <c r="AV24" s="54"/>
      <c r="AW24" s="125"/>
      <c r="AX24" s="54" t="str">
        <f t="shared" ref="AX24:AX28" si="16">BM24</f>
        <v>Bonus</v>
      </c>
      <c r="AY24" s="54"/>
      <c r="AZ24" s="54"/>
      <c r="BA24" s="54">
        <f>IF('Master Data'!$I$27=1,ROUND((6774/12)*1,0),IF('Master Data'!$I$27=2,ROUND((6774/12)*2,0),IF('Master Data'!$I$27=3,ROUND((6774/12)*3,0),IF('Master Data'!$I$27=4,ROUND((6774/12)*4,0),IF('Master Data'!$I$27=5,ROUND((6774/12)*5,0),IF('Master Data'!$I$27=6,ROUND((6774/12)*6,0),IF('Master Data'!$I$27=7,ROUND((6774/12)*7,0),IF('Master Data'!$I$27=8,ROUND((6774/12)*8,0),IF('Master Data'!$I$27=9,ROUND((6774/12)*9,0),IF('Master Data'!$I$27=10,ROUND((6774/12)*10,0),IF('Master Data'!$I$27=11,ROUND((6774/12)*11,0),IF('Master Data'!$I$27=12,ROUND((6774/12)*12,0),0))))))))))))</f>
        <v>6774</v>
      </c>
      <c r="BB24" s="54">
        <v>6774.0</v>
      </c>
      <c r="BC24" s="54"/>
      <c r="BD24" s="54" t="str">
        <f t="shared" ref="BD24:BD27" si="17">IF(BC24="","",BC24)</f>
        <v/>
      </c>
      <c r="BE24" s="54"/>
      <c r="BF24" s="54"/>
      <c r="BG24" s="54"/>
      <c r="BH24" s="54"/>
      <c r="BI24" s="127" t="str">
        <f>IF('Master Data'!$I$25="No","",ROUND(BA24*25%,0))</f>
        <v/>
      </c>
      <c r="BJ24" s="54"/>
      <c r="BK24" s="130">
        <v>46082.0</v>
      </c>
      <c r="BL24" s="130">
        <f>IFERROR(IF('Master Data'!$N$25="","",IF('Master Data'!$F$41="","",IF(AND($AZ$17&gt;$AZ$9),"",DATE(YEAR(BL23),MONTH(BL23)+1,DAY(BL23))))),"")</f>
        <v>46082</v>
      </c>
      <c r="BM24" s="54" t="s">
        <v>39</v>
      </c>
      <c r="BN24" s="130" t="str">
        <f t="shared" si="10"/>
        <v/>
      </c>
      <c r="BO24" s="130" t="str">
        <f t="shared" si="14"/>
        <v>Bonus</v>
      </c>
      <c r="BP24" s="130"/>
      <c r="BQ24" s="130" t="str">
        <f t="shared" si="11"/>
        <v/>
      </c>
      <c r="BR24" s="130"/>
      <c r="BS24" s="55"/>
      <c r="BT24" s="55"/>
      <c r="BU24" s="55"/>
      <c r="BV24" s="130"/>
      <c r="BW24" s="54">
        <f t="shared" ref="BW24:BW30" si="18">MATCH(BM24,$D$8:$D$28,0)</f>
        <v>13</v>
      </c>
      <c r="BX24" s="55" t="str">
        <f t="shared" ref="BX24:BX30" si="19">IFERROR(IF(BB24="",0,VLOOKUP(BW24,$C$8:$AC$28,24)),0)</f>
        <v/>
      </c>
      <c r="BY24" s="54"/>
      <c r="BZ24" s="55" t="str">
        <f t="shared" ref="BZ24:BZ30" si="20">VLOOKUP(BW24,$C$8:$AC$28,24)</f>
        <v/>
      </c>
      <c r="CA24" s="54"/>
      <c r="CB24" s="54"/>
      <c r="CC24" s="54"/>
      <c r="CD24" s="54"/>
      <c r="CE24" s="54"/>
      <c r="CF24" s="54"/>
      <c r="CG24" s="54"/>
      <c r="CH24" s="54"/>
      <c r="CI24" s="109"/>
      <c r="CJ24" s="109"/>
      <c r="CK24" s="109"/>
      <c r="CL24" s="109"/>
      <c r="CM24" s="109"/>
      <c r="CN24" s="109"/>
      <c r="CO24" s="109"/>
      <c r="CP24" s="108"/>
      <c r="CQ24" s="108"/>
      <c r="CR24" s="108"/>
      <c r="CS24" s="108"/>
      <c r="CT24" s="108"/>
    </row>
    <row r="25" ht="21.0" customHeight="1">
      <c r="A25" s="1">
        <f t="shared" si="1"/>
        <v>0</v>
      </c>
      <c r="B25" s="96">
        <f t="shared" si="6"/>
        <v>18</v>
      </c>
      <c r="C25" s="110">
        <f t="shared" si="2"/>
        <v>18</v>
      </c>
      <c r="D25" s="111" t="str">
        <f t="shared" si="3"/>
        <v>PL Surrender Arrear</v>
      </c>
      <c r="E25" s="112" t="str">
        <f>IFERROR(IF(D25="","",IF(AND(BQ29=""),"",IF(AND('Master Data'!$I$29='GA55 Check &amp; Edit'!$AP$6),VLOOKUP(D25,ram,13,0),VLOOKUP(D25,ram,4,0)))),"")</f>
        <v/>
      </c>
      <c r="F25" s="113" t="str">
        <f>IFERROR(IF(D25="","",IF(D25=$AX$24,"",IF(AND(D25=$AX$28),"",IF(AND('Master Data'!$I$29='GA55 Check &amp; Edit'!$AP$5),VLOOKUP(D25,ram,7,0),"")))),"")</f>
        <v/>
      </c>
      <c r="G25" s="113" t="str">
        <f>IFERROR(IF(D25="","",IF(D25=$AX$24,"",IF(AND(D25=$AX$25),"",IF(AND(D25=$AX$26),"",IF(AND(D25=$AX$27),"",IF(AND(D25=$AX$28),"",IF(AND(D25=$AX$29),"",IF(AND('Master Data'!$I$29='GA55 Check &amp; Edit'!$AP$6),"",VLOOKUP(D25,ram,8,0))))))))),"")</f>
        <v/>
      </c>
      <c r="H25" s="113" t="str">
        <f>IFERROR(IF(D25="","",IF(AND(E25=""),"",IF(OR(D25=$AX$24,D25=$AX$25,D25=$AX$26,D25=$AX$27,D25=$AX$28,D25=$AX$29),"",IF(AND('Master Data'!$I$29='GA55 Check &amp; Edit'!$AP$5),'Master Data'!$B$44,"")))),"")</f>
        <v/>
      </c>
      <c r="I25" s="113" t="str">
        <f>IFERROR(IF(D25="","",IF(AND(E25=""),"",IF(OR(D25=$AX$24,D25=$AX$25,D25=$AX$26,D25=$AX$27,D25=$AX$28,D25=$AX$29),"",IF(AND('Master Data'!$I$29='GA55 Check &amp; Edit'!$AP$5,'Master Data'!$E$29='GA55 Check &amp; Edit'!$AO$5),'Master Data'!$E$31,"0")))),"")</f>
        <v/>
      </c>
      <c r="J25" s="113" t="str">
        <f>IFERROR(IF(OR('Master Data'!$E$33=$AO$6,'Master Data'!$E$33=""),"",IF(D25="","",IF(AND(E25=""),"",IF(OR(D25=$AX$24,D25=$AX$25,D25=$AX$26,D25=$AX$27,D25=$AX$28,D25=$AX$29),"",IF(AND('Master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5" s="113" t="str">
        <f>IFERROR(IF(D25="","",IF(AND(E25=""),"",IF(OR(D25=$AX$24,D25=$AX$25,D25=$AX$26,D25=$AX$27,D25=$AX$28,D25=$AX$29),"",IF(AND('Master Data'!$I$29='GA55 Check &amp; Edit'!$AP$5),'Master Data'!$C$44,"")))),"")</f>
        <v/>
      </c>
      <c r="L25" s="113" t="str">
        <f>IFERROR(IF(D25="","",IF(AND(E25=""),"",IF(OR(D25=$AX$24,D25=$AX$25,D25=$AX$26,D25=$AX$27,D25=$AX$28,D25=$AX$29),"",IF(AND('Master Data'!$I$29='GA55 Check &amp; Edit'!$AP$6),"",'Master Data'!$D$44)))),"")</f>
        <v/>
      </c>
      <c r="M25" s="113" t="str">
        <f>IFERROR(IF(D25="","",IF(AND(E25=""),"",IF(OR(D25=$AX$24,D25=$AX$25,D25=$AX$26,D25=$AX$27,D25=$AX$28,D25=$AX$29),"",IF(AND('Master Data'!$I$29='GA55 Check &amp; Edit'!$AP$6),"",'Master Data'!$E$44)))),"")</f>
        <v/>
      </c>
      <c r="N25" s="113" t="str">
        <f>IFERROR(IF(D25="","",IF(AND('Master Data'!$I$29='GA55 Check &amp; Edit'!$AP$6),"",IF(AND('Master Data'!$I$25='GA55 Check &amp; Edit'!$AO$6),"0",IF(AND(D25="Bonus"),VLOOKUP(D25,ram,4,0),"")))),"")</f>
        <v>0</v>
      </c>
      <c r="O25" s="114">
        <f>IF(D25="","",IF('Master Data'!$N$25="","",SUM(E25:N25)))</f>
        <v>0</v>
      </c>
      <c r="P25" s="103" t="str">
        <f>IFERROR(IF(OR('Master Data'!$I$29='GA55 Check &amp; Edit'!$AP$6,D25=""),"",IF(AND(D25=$AX$24),"",IF(AND(D25=$AX$25),"",IF(AND(D25=$AX$26),"",IF(AND(D25=$AX$27),"",IF(AND(D25=$AX$28),"",IF(AND(D25=$AX$29),"",IF(AND(E25=""),"",VLOOKUP(D25,ram,11,0))))))))),"")</f>
        <v/>
      </c>
      <c r="Q25" s="102" t="str">
        <f>IFERROR(IF(AND('Master Data'!$I$29='GA55 Check &amp; Edit'!$AP$6),"",IF(AND(D25=$AX$25),"",IF(AND(D25=$AX$28),"",IF(AND(D25=$AX$29),"",IF(AND(D25=""),"",IF(AND(BB29=""),"",VLOOKUP(D25,ram,12,0))))))),"")</f>
        <v/>
      </c>
      <c r="R25" s="103" t="str">
        <f>IFERROR(IF(OR('Master Data'!$I$29='GA55 Check &amp; Edit'!$AP$6,D25=""),"",IF(AND(D25=$AX$24),"",IF(AND(D25=$AX$25),"",IF(AND(D25=$AX$26),"",IF(AND(D25=$AX$27),"",IF(AND(D25=$AX$28),"",IF(AND(D25=$AX$29),"",IF(AND(E25=""),"",'Master Data'!$I$44)))))))),"")</f>
        <v/>
      </c>
      <c r="S25" s="103" t="str">
        <f>IFERROR(IF(OR('Master Data'!$I$29='GA55 Check &amp; Edit'!$AP$6),"",IF(D25="","",IF(E25="","",IF(AND(D25=$AX$24),"",IF(AND(D25=$AX$25),"",IF(AND(D25=$AX$26),"",IF(AND(D25=$AX$27),"",IF(AND(D25=$AX$28),"",IF(AND(D25=$AX$29),"",VLOOKUP(D25,ram,10,0)))))))))),"")</f>
        <v/>
      </c>
      <c r="T25" s="103" t="str">
        <f>IFERROR(IF(OR('Master Data'!$I$29='GA55 Check &amp; Edit'!$AP$6,D25=""),"",IF(AND(D25=$AX$24),"",IF(AND(D25=$AX$25),"",IF(AND(D25=$AX$26),"",IF(AND(D25=$AX$27),"",IF(AND(D25=$AX$28),"",IF(AND(D25=$AX$29),"",IF(AND(E25=""),"",'Master Data'!$K$44)))))))),"")</f>
        <v/>
      </c>
      <c r="U25" s="103" t="str">
        <f>IFERROR(IF(OR('Master Data'!$I$29='GA55 Check &amp; Edit'!$AP$6,D25=""),"",IF(AND(D25=$AX$24),"",IF(AND(D25=$AX$25),"",IF(AND(D25=$AX$26),"",IF(AND(D25=$AX$27),"",IF(AND(D25=$AX$28),"",IF(AND(D25=$AX$29),"",IF(AND(E25=""),"",'Master Data'!$L$44)))))))),"")</f>
        <v/>
      </c>
      <c r="V25" s="103" t="str">
        <f>IFERROR(IF(OR('Master Data'!$I$29='GA55 Check &amp; Edit'!$AP$6,D25=""),"",IF(AND(D25=$AX$24),"",IF(AND(D25=$AX$25),"",IF(AND(D25=$AX$26),"",IF(AND(D25=$AX$27),"",IF(AND(D25=$AX$28),"",IF(AND(D25=$AX$29),"",IF(AND(E25=""),"",'Master Data'!$M$44)))))))),"")</f>
        <v/>
      </c>
      <c r="W25" s="103" t="str">
        <f>IFERROR(IF(OR('Master Data'!$I$29='GA55 Check &amp; Edit'!$AP$6,D25=""),"",IF(AND(D25=$AX$24),"",IF(AND(D25=$AX$25),"",IF(AND(D25=$AX$26),"",IF(AND(D25=$AX$27),"",IF(AND(D25=$AX$28),"",IF(AND(D25=$AX$29),"",IF(AND(E25=""),"",'Master Data'!$N$44)))))))),"")</f>
        <v/>
      </c>
      <c r="X25" s="103" t="str">
        <f>IFERROR(IF(OR('Master Data'!$I$29='GA55 Check &amp; Edit'!$AP$6,D25=""),"",IF(AND(E25=""),"",IF(AND('GA55 Check &amp; Edit'!D25='GA55 Check &amp; Edit'!$AT$17,'Master Data'!$D$18="Gazetted"),500,IF(AND('GA55 Check &amp; Edit'!D25='GA55 Check &amp; Edit'!$AT$17,'Master Data'!$D$18="Non-Gazetted"),250,"")))),"")</f>
        <v/>
      </c>
      <c r="Y25" s="103" t="str">
        <f>IFERROR(IF(D25="","",IF(AND(E25=""),"",IF(AND(D25=$AX$24),"",IF(AND(D25=$AX$25),"",IF(AND(D25=$AX$26),"",IF(AND(D25=$AX$27),"",IF(AND(D25=$AX$28),"",IF(AND(D25=$AX$29),"",IF(OR('Master Data'!$I$29='GA55 Check &amp; Edit'!$AP$6,D25=""),"",$Y$7))))))))),"")</f>
        <v/>
      </c>
      <c r="Z25" s="103"/>
      <c r="AA25" s="103" t="str">
        <f>IFERROR(IF(OR('Master Data'!$I$29='GA55 Check &amp; Edit'!$AP$6,D25="",'Master Data'!$N$35=""),"",IF(AND(E25=""),"",IF('GA55 Check &amp; Edit'!D25='GA55 Check &amp; Edit'!$AT$9,'Master Data'!$N$35,""))),"")</f>
        <v/>
      </c>
      <c r="AB25" s="115">
        <f t="shared" si="4"/>
        <v>0</v>
      </c>
      <c r="AC25" s="116">
        <f t="shared" si="5"/>
        <v>0</v>
      </c>
      <c r="AD25" s="117"/>
      <c r="AE25" s="118"/>
      <c r="AF25" s="1"/>
      <c r="AG25" s="108"/>
      <c r="AH25" s="109"/>
      <c r="AI25" s="109"/>
      <c r="AJ25" s="109"/>
      <c r="AK25" s="109"/>
      <c r="AL25" s="109"/>
      <c r="AM25" s="54"/>
      <c r="AN25" s="54"/>
      <c r="AO25" s="54"/>
      <c r="AP25" s="130"/>
      <c r="AQ25" s="54"/>
      <c r="AR25" s="54"/>
      <c r="AS25" s="54">
        <f>MROUND(AZ15*1.03,100)</f>
        <v>39100</v>
      </c>
      <c r="AT25" s="54"/>
      <c r="AU25" s="54" t="s">
        <v>88</v>
      </c>
      <c r="AV25" s="54"/>
      <c r="AW25" s="125"/>
      <c r="AX25" s="54" t="str">
        <f t="shared" si="16"/>
        <v>PL Surrender</v>
      </c>
      <c r="AY25" s="54"/>
      <c r="AZ25" s="54"/>
      <c r="BA25" s="54" t="str">
        <f>IF('Master Data'!$I$29='GA55 Check &amp; Edit'!$AP$6,"",IF(OR('Master Data'!E23="NO",'Master Data'!E23=""),"",VLOOKUP('Master Data'!I23,AW12:BD29,5,0)/2))</f>
        <v/>
      </c>
      <c r="BB25" s="54"/>
      <c r="BC25" s="54" t="str">
        <f>IF('Master Data'!$I$29='GA55 Check &amp; Edit'!$AP$6,"",IF(AND(BA25=""),"",IF(OR('Master Data'!I23='GA55 Check &amp; Edit'!AW12),ROUND(55%*BA25,0),IF(OR('Master Data'!I23='GA55 Check &amp; Edit'!AW13,'Master Data'!I23='GA55 Check &amp; Edit'!AW14,'Master Data'!I23='GA55 Check &amp; Edit'!AW15),ROUND(55%*BA25,0),IF(OR('Master Data'!I23='GA55 Check &amp; Edit'!AW16,'Master Data'!I23='GA55 Check &amp; Edit'!AW17,'Master Data'!I23='GA55 Check &amp; Edit'!AW18),ROUND(55%*BA25,0),ROUND(58%*BA25,0))))))</f>
        <v/>
      </c>
      <c r="BD25" s="54" t="str">
        <f t="shared" si="17"/>
        <v/>
      </c>
      <c r="BE25" s="54"/>
      <c r="BF25" s="54"/>
      <c r="BG25" s="54"/>
      <c r="BH25" s="54"/>
      <c r="BI25" s="127"/>
      <c r="BJ25" s="54"/>
      <c r="BK25" s="130">
        <v>46113.0</v>
      </c>
      <c r="BL25" s="130">
        <f>IFERROR(IF('Master Data'!$N$25="","",IF('Master Data'!$F$41="","",IF(AND($AZ$17&gt;$AZ$9),"",DATE(YEAR(BL24),MONTH(BL24)+1,DAY(BL24))))),"")</f>
        <v>46113</v>
      </c>
      <c r="BM25" s="54" t="s">
        <v>89</v>
      </c>
      <c r="BN25" s="130" t="str">
        <f t="shared" si="10"/>
        <v/>
      </c>
      <c r="BO25" s="130" t="str">
        <f t="shared" si="14"/>
        <v>PL Surrender</v>
      </c>
      <c r="BP25" s="130"/>
      <c r="BQ25" s="130" t="str">
        <f t="shared" si="11"/>
        <v>PL Surrender</v>
      </c>
      <c r="BR25" s="54"/>
      <c r="BS25" s="55"/>
      <c r="BT25" s="55"/>
      <c r="BU25" s="55"/>
      <c r="BV25" s="130"/>
      <c r="BW25" s="54">
        <f t="shared" si="18"/>
        <v>14</v>
      </c>
      <c r="BX25" s="55">
        <f t="shared" si="19"/>
        <v>0</v>
      </c>
      <c r="BY25" s="54"/>
      <c r="BZ25" s="55" t="str">
        <f t="shared" si="20"/>
        <v/>
      </c>
      <c r="CA25" s="54"/>
      <c r="CB25" s="54"/>
      <c r="CC25" s="54"/>
      <c r="CD25" s="54"/>
      <c r="CE25" s="54"/>
      <c r="CF25" s="54"/>
      <c r="CG25" s="54"/>
      <c r="CH25" s="54"/>
      <c r="CI25" s="109"/>
      <c r="CJ25" s="109"/>
      <c r="CK25" s="109"/>
      <c r="CL25" s="109"/>
      <c r="CM25" s="109"/>
      <c r="CN25" s="109"/>
      <c r="CO25" s="109"/>
      <c r="CP25" s="108"/>
      <c r="CQ25" s="108"/>
      <c r="CR25" s="108"/>
      <c r="CS25" s="108"/>
      <c r="CT25" s="108"/>
    </row>
    <row r="26" ht="21.0" customHeight="1">
      <c r="A26" s="1">
        <f t="shared" si="1"/>
        <v>1</v>
      </c>
      <c r="B26" s="96">
        <f t="shared" si="6"/>
        <v>19</v>
      </c>
      <c r="C26" s="110">
        <f t="shared" si="2"/>
        <v>19</v>
      </c>
      <c r="D26" s="111" t="str">
        <f t="shared" si="3"/>
        <v>Fixation arrear</v>
      </c>
      <c r="E26" s="112" t="str">
        <f>IFERROR(IF(D26="","",IF(AND(BQ30=""),"",IF(AND('Master Data'!$I$29='GA55 Check &amp; Edit'!$AP$6),VLOOKUP(D26,ram,13,0),VLOOKUP(D26,ram,4,0)))),"")</f>
        <v/>
      </c>
      <c r="F26" s="113" t="str">
        <f>IFERROR(IF(D26="","",IF(D26=$AX$24,"",IF(AND(D26=$AX$28),"",IF(AND('Master Data'!$I$29='GA55 Check &amp; Edit'!$AP$5),VLOOKUP(D26,ram,7,0),"")))),"")</f>
        <v/>
      </c>
      <c r="G26" s="113" t="str">
        <f>IFERROR(IF(D26="","",IF(D26=$AX$24,"",IF(AND(D26=$AX$25),"",IF(AND(D26=$AX$26),"",IF(AND(D26=$AX$27),"",IF(AND(D26=$AX$28),"",IF(AND(D26=$AX$29),"",IF(AND('Master Data'!$I$29='GA55 Check &amp; Edit'!$AP$6),"",VLOOKUP(D26,ram,8,0))))))))),"")</f>
        <v/>
      </c>
      <c r="H26" s="113" t="str">
        <f>IFERROR(IF(D26="","",IF(AND(E26=""),"",IF(OR(D26=$AX$24,D26=$AX$25,D26=$AX$26,D26=$AX$27,D26=$AX$28,D26=$AX$29),"",IF(AND('Master Data'!$I$29='GA55 Check &amp; Edit'!$AP$5),'Master Data'!$B$44,"")))),"")</f>
        <v/>
      </c>
      <c r="I26" s="113" t="str">
        <f>IFERROR(IF(D26="","",IF(AND(E26=""),"",IF(OR(D26=$AX$24,D26=$AX$25,D26=$AX$26,D26=$AX$27,D26=$AX$28,D26=$AX$29),"",IF(AND('Master Data'!$I$29='GA55 Check &amp; Edit'!$AP$5,'Master Data'!$E$29='GA55 Check &amp; Edit'!$AO$5),'Master Data'!$E$31,"0")))),"")</f>
        <v/>
      </c>
      <c r="J26" s="113" t="str">
        <f>IFERROR(IF(OR('Master Data'!$E$33=$AO$6,'Master Data'!$E$33=""),"",IF(D26="","",IF(AND(E26=""),"",IF(OR(D26=$AX$24,D26=$AX$25,D26=$AX$26,D26=$AX$27,D26=$AX$28,D26=$AX$29),"",IF(AND('Master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6" s="113" t="str">
        <f>IFERROR(IF(D26="","",IF(AND(E26=""),"",IF(OR(D26=$AX$24,D26=$AX$25,D26=$AX$26,D26=$AX$27,D26=$AX$28,D26=$AX$29),"",IF(AND('Master Data'!$I$29='GA55 Check &amp; Edit'!$AP$5),'Master Data'!$C$44,"")))),"")</f>
        <v/>
      </c>
      <c r="L26" s="113" t="str">
        <f>IFERROR(IF(D26="","",IF(AND(E26=""),"",IF(OR(D26=$AX$24,D26=$AX$25,D26=$AX$26,D26=$AX$27,D26=$AX$28,D26=$AX$29),"",IF(AND('Master Data'!$I$29='GA55 Check &amp; Edit'!$AP$6),"",'Master Data'!$D$44)))),"")</f>
        <v/>
      </c>
      <c r="M26" s="113" t="str">
        <f>IFERROR(IF(D26="","",IF(AND(E26=""),"",IF(OR(D26=$AX$24,D26=$AX$25,D26=$AX$26,D26=$AX$27,D26=$AX$28,D26=$AX$29),"",IF(AND('Master Data'!$I$29='GA55 Check &amp; Edit'!$AP$6),"",'Master Data'!$E$44)))),"")</f>
        <v/>
      </c>
      <c r="N26" s="113" t="str">
        <f>IFERROR(IF(D26="","",IF(AND('Master Data'!$I$29='GA55 Check &amp; Edit'!$AP$6),"",IF(AND('Master Data'!$I$25='GA55 Check &amp; Edit'!$AO$6),"0",IF(AND(D26="Bonus"),VLOOKUP(D26,ram,4,0),"")))),"")</f>
        <v>0</v>
      </c>
      <c r="O26" s="114">
        <f>IF(D26="","",IF('Master Data'!$N$25="","",SUM(E26:N26)))</f>
        <v>0</v>
      </c>
      <c r="P26" s="103" t="str">
        <f>IFERROR(IF(OR('Master Data'!$I$29='GA55 Check &amp; Edit'!$AP$6,D26=""),"",IF(AND(D26=$AX$24),"",IF(AND(D26=$AX$25),"",IF(AND(D26=$AX$26),"",IF(AND(D26=$AX$27),"",IF(AND(D26=$AX$28),"",IF(AND(D26=$AX$29),"",IF(AND(E26=""),"",VLOOKUP(D26,ram,11,0))))))))),"")</f>
        <v/>
      </c>
      <c r="Q26" s="102" t="str">
        <f>IFERROR(IF(AND('Master Data'!$I$29='GA55 Check &amp; Edit'!$AP$6),"",IF(AND(D26=$AX$25),"",IF(AND(D26=$AX$28),"",IF(AND(D26=$AX$29),"",IF(AND(D26=""),"",IF(AND(BB30=""),"",VLOOKUP(D26,ram,12,0))))))),"")</f>
        <v/>
      </c>
      <c r="R26" s="103" t="str">
        <f>IFERROR(IF(OR('Master Data'!$I$29='GA55 Check &amp; Edit'!$AP$6,D26=""),"",IF(AND(D26=$AX$24),"",IF(AND(D26=$AX$25),"",IF(AND(D26=$AX$26),"",IF(AND(D26=$AX$27),"",IF(AND(D26=$AX$28),"",IF(AND(D26=$AX$29),"",IF(AND(E26=""),"",'Master Data'!$I$44)))))))),"")</f>
        <v/>
      </c>
      <c r="S26" s="103" t="str">
        <f>IFERROR(IF(OR('Master Data'!$I$29='GA55 Check &amp; Edit'!$AP$6),"",IF(D26="","",IF(E26="","",IF(AND(D26=$AX$24),"",IF(AND(D26=$AX$25),"",IF(AND(D26=$AX$26),"",IF(AND(D26=$AX$27),"",IF(AND(D26=$AX$28),"",IF(AND(D26=$AX$29),"",VLOOKUP(D26,ram,10,0)))))))))),"")</f>
        <v/>
      </c>
      <c r="T26" s="103" t="str">
        <f>IFERROR(IF(OR('Master Data'!$I$29='GA55 Check &amp; Edit'!$AP$6,D26=""),"",IF(AND(D26=$AX$24),"",IF(AND(D26=$AX$25),"",IF(AND(D26=$AX$26),"",IF(AND(D26=$AX$27),"",IF(AND(D26=$AX$28),"",IF(AND(D26=$AX$29),"",IF(AND(E26=""),"",'Master Data'!$K$44)))))))),"")</f>
        <v/>
      </c>
      <c r="U26" s="103" t="str">
        <f>IFERROR(IF(OR('Master Data'!$I$29='GA55 Check &amp; Edit'!$AP$6,D26=""),"",IF(AND(D26=$AX$24),"",IF(AND(D26=$AX$25),"",IF(AND(D26=$AX$26),"",IF(AND(D26=$AX$27),"",IF(AND(D26=$AX$28),"",IF(AND(D26=$AX$29),"",IF(AND(E26=""),"",'Master Data'!$L$44)))))))),"")</f>
        <v/>
      </c>
      <c r="V26" s="103" t="str">
        <f>IFERROR(IF(OR('Master Data'!$I$29='GA55 Check &amp; Edit'!$AP$6,D26=""),"",IF(AND(D26=$AX$24),"",IF(AND(D26=$AX$25),"",IF(AND(D26=$AX$26),"",IF(AND(D26=$AX$27),"",IF(AND(D26=$AX$28),"",IF(AND(D26=$AX$29),"",IF(AND(E26=""),"",'Master Data'!$M$44)))))))),"")</f>
        <v/>
      </c>
      <c r="W26" s="103" t="str">
        <f>IFERROR(IF(OR('Master Data'!$I$29='GA55 Check &amp; Edit'!$AP$6,D26=""),"",IF(AND(D26=$AX$24),"",IF(AND(D26=$AX$25),"",IF(AND(D26=$AX$26),"",IF(AND(D26=$AX$27),"",IF(AND(D26=$AX$28),"",IF(AND(D26=$AX$29),"",IF(AND(E26=""),"",'Master Data'!$N$44)))))))),"")</f>
        <v/>
      </c>
      <c r="X26" s="103" t="str">
        <f>IFERROR(IF(OR('Master Data'!$I$29='GA55 Check &amp; Edit'!$AP$6,D26=""),"",IF(AND(E26=""),"",IF(AND('GA55 Check &amp; Edit'!D26='GA55 Check &amp; Edit'!$AT$17,'Master Data'!$D$18="Gazetted"),500,IF(AND('GA55 Check &amp; Edit'!D26='GA55 Check &amp; Edit'!$AT$17,'Master Data'!$D$18="Non-Gazetted"),250,"")))),"")</f>
        <v/>
      </c>
      <c r="Y26" s="103" t="str">
        <f>IFERROR(IF(D26="","",IF(AND(E26=""),"",IF(AND(D26=$AX$24),"",IF(AND(D26=$AX$25),"",IF(AND(D26=$AX$26),"",IF(AND(D26=$AX$27),"",IF(AND(D26=$AX$28),"",IF(AND(D26=$AX$29),"",IF(OR('Master Data'!$I$29='GA55 Check &amp; Edit'!$AP$6,D26=""),"",$Y$7))))))))),"")</f>
        <v/>
      </c>
      <c r="Z26" s="103"/>
      <c r="AA26" s="103" t="str">
        <f>IFERROR(IF(OR('Master Data'!$I$29='GA55 Check &amp; Edit'!$AP$6,D26="",'Master Data'!$N$35=""),"",IF(AND(E26=""),"",IF('GA55 Check &amp; Edit'!D26='GA55 Check &amp; Edit'!$AT$9,'Master Data'!$N$35,""))),"")</f>
        <v/>
      </c>
      <c r="AB26" s="115">
        <f t="shared" si="4"/>
        <v>0</v>
      </c>
      <c r="AC26" s="116">
        <f t="shared" si="5"/>
        <v>0</v>
      </c>
      <c r="AD26" s="117"/>
      <c r="AE26" s="118"/>
      <c r="AF26" s="1"/>
      <c r="AG26" s="108"/>
      <c r="AH26" s="109"/>
      <c r="AI26" s="109"/>
      <c r="AJ26" s="109"/>
      <c r="AK26" s="109"/>
      <c r="AL26" s="109"/>
      <c r="AM26" s="54"/>
      <c r="AN26" s="54"/>
      <c r="AO26" s="54"/>
      <c r="AP26" s="130"/>
      <c r="AQ26" s="54"/>
      <c r="AR26" s="54"/>
      <c r="AS26" s="54"/>
      <c r="AT26" s="54"/>
      <c r="AU26" s="54" t="s">
        <v>90</v>
      </c>
      <c r="AV26" s="54"/>
      <c r="AW26" s="125"/>
      <c r="AX26" s="54" t="str">
        <f t="shared" si="16"/>
        <v>DA Arrear 53 to 55%</v>
      </c>
      <c r="AY26" s="54"/>
      <c r="AZ26" s="54"/>
      <c r="BA26" s="54"/>
      <c r="BB26" s="54">
        <f>(ROUND((BA12*55%),0)-ROUND((BA12*53%),0))*3</f>
        <v>2280</v>
      </c>
      <c r="BC26" s="54">
        <f>(ROUND((BA12*55%),0)-ROUND((BA12*53%),0))*3</f>
        <v>2280</v>
      </c>
      <c r="BD26" s="54">
        <f t="shared" si="17"/>
        <v>2280</v>
      </c>
      <c r="BE26" s="54"/>
      <c r="BF26" s="54"/>
      <c r="BG26" s="54"/>
      <c r="BH26" s="54"/>
      <c r="BI26" s="127">
        <f t="shared" ref="BI26:BI27" si="21">BD26</f>
        <v>2280</v>
      </c>
      <c r="BJ26" s="54"/>
      <c r="BK26" s="130">
        <v>46143.0</v>
      </c>
      <c r="BL26" s="130">
        <f>IFERROR(IF('Master Data'!$N$25="","",IF('Master Data'!$F$41="","",IF(AND($AZ$17&gt;$AZ$9),"",DATE(YEAR(BL25),MONTH(BL25)+1,DAY(BL25))))),"")</f>
        <v>46143</v>
      </c>
      <c r="BM26" s="54" t="s">
        <v>91</v>
      </c>
      <c r="BN26" s="130" t="str">
        <f t="shared" si="10"/>
        <v/>
      </c>
      <c r="BO26" s="130" t="str">
        <f t="shared" si="14"/>
        <v>DA Arrear 53 to 55%</v>
      </c>
      <c r="BP26" s="130"/>
      <c r="BQ26" s="130" t="str">
        <f t="shared" si="11"/>
        <v/>
      </c>
      <c r="BR26" s="54"/>
      <c r="BS26" s="55"/>
      <c r="BT26" s="130"/>
      <c r="BU26" s="55"/>
      <c r="BV26" s="130"/>
      <c r="BW26" s="54">
        <f t="shared" si="18"/>
        <v>15</v>
      </c>
      <c r="BX26" s="55" t="str">
        <f t="shared" si="19"/>
        <v/>
      </c>
      <c r="BY26" s="54"/>
      <c r="BZ26" s="55" t="str">
        <f t="shared" si="20"/>
        <v/>
      </c>
      <c r="CA26" s="54"/>
      <c r="CB26" s="54"/>
      <c r="CC26" s="54"/>
      <c r="CD26" s="54"/>
      <c r="CE26" s="54"/>
      <c r="CF26" s="54"/>
      <c r="CG26" s="54"/>
      <c r="CH26" s="54"/>
      <c r="CI26" s="109"/>
      <c r="CJ26" s="109"/>
      <c r="CK26" s="109"/>
      <c r="CL26" s="109"/>
      <c r="CM26" s="109"/>
      <c r="CN26" s="109"/>
      <c r="CO26" s="109"/>
      <c r="CP26" s="108"/>
      <c r="CQ26" s="108"/>
      <c r="CR26" s="108"/>
      <c r="CS26" s="108"/>
      <c r="CT26" s="108"/>
    </row>
    <row r="27" ht="21.0" customHeight="1">
      <c r="A27" s="1">
        <f t="shared" si="1"/>
        <v>0</v>
      </c>
      <c r="B27" s="96">
        <f t="shared" si="6"/>
        <v>0</v>
      </c>
      <c r="C27" s="110" t="str">
        <f t="shared" si="2"/>
        <v/>
      </c>
      <c r="D27" s="111" t="str">
        <f t="shared" si="3"/>
        <v/>
      </c>
      <c r="E27" s="112" t="str">
        <f>IFERROR(IF(D27="","",IF(AND(BQ31=""),"",IF(AND('Master Data'!$I$29='GA55 Check &amp; Edit'!$AP$6),VLOOKUP(D27,ram,13,0),VLOOKUP(D27,ram,4,0)))),"")</f>
        <v/>
      </c>
      <c r="F27" s="113" t="str">
        <f>IFERROR(IF(D27="","",IF(D27=$AX$24,"",IF(AND(D27=$AX$28),"",IF(AND('Master Data'!$I$29='GA55 Check &amp; Edit'!$AP$5),VLOOKUP(D27,ram,7,0),"")))),"")</f>
        <v/>
      </c>
      <c r="G27" s="113" t="str">
        <f>IFERROR(IF(D27="","",IF(D27=$AX$24,"",IF(AND(D27=$AX$25),"",IF(AND(D27=$AX$26),"",IF(AND(D27=$AX$27),"",IF(AND(D27=$AX$28),"",IF(AND(D27=$AX$29),"",IF(AND('Master Data'!$I$29='GA55 Check &amp; Edit'!$AP$6),"",VLOOKUP(D27,ram,8,0))))))))),"")</f>
        <v/>
      </c>
      <c r="H27" s="113" t="str">
        <f>IFERROR(IF(D27="","",IF(AND(E27=""),"",IF(OR(D27=$AX$24,D27=$AX$25,D27=$AX$26,D27=$AX$27,D27=$AX$28,D27=$AX$29),"",IF(AND('Master Data'!$I$29='GA55 Check &amp; Edit'!$AP$5),'Master Data'!$B$44,"")))),"")</f>
        <v/>
      </c>
      <c r="I27" s="113" t="str">
        <f>IFERROR(IF(D27="","",IF(AND(E27=""),"",IF(OR(D27=$AX$24,D27=$AX$25,D27=$AX$26,D27=$AX$27,D27=$AX$28,D27=$AX$29),"",IF(AND('Master Data'!$I$29='GA55 Check &amp; Edit'!$AP$5,'Master Data'!$E$29='GA55 Check &amp; Edit'!$AO$5),'Master Data'!$E$31,"0")))),"")</f>
        <v/>
      </c>
      <c r="J27" s="113" t="str">
        <f>IFERROR(IF(OR('Master Data'!$E$33=$AO$6,'Master Data'!$E$33=""),"",IF(D27="","",IF(AND(E27=""),"",IF(OR(D27=$AX$24,D27=$AX$25,D27=$AX$26,D27=$AX$27,D27=$AX$28,D27=$AX$29),"",IF(AND('Master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7" s="113" t="str">
        <f>IFERROR(IF(D27="","",IF(AND(E27=""),"",IF(OR(D27=$AX$24,D27=$AX$25,D27=$AX$26,D27=$AX$27,D27=$AX$28,D27=$AX$29),"",IF(AND('Master Data'!$I$29='GA55 Check &amp; Edit'!$AP$5),'Master Data'!$C$44,"")))),"")</f>
        <v/>
      </c>
      <c r="L27" s="113" t="str">
        <f>IFERROR(IF(D27="","",IF(AND(E27=""),"",IF(OR(D27=$AX$24,D27=$AX$25,D27=$AX$26,D27=$AX$27,D27=$AX$28,D27=$AX$29),"",IF(AND('Master Data'!$I$29='GA55 Check &amp; Edit'!$AP$6),"",'Master Data'!$D$44)))),"")</f>
        <v/>
      </c>
      <c r="M27" s="113" t="str">
        <f>IFERROR(IF(D27="","",IF(AND(E27=""),"",IF(OR(D27=$AX$24,D27=$AX$25,D27=$AX$26,D27=$AX$27,D27=$AX$28,D27=$AX$29),"",IF(AND('Master Data'!$I$29='GA55 Check &amp; Edit'!$AP$6),"",'Master Data'!$E$44)))),"")</f>
        <v/>
      </c>
      <c r="N27" s="113" t="str">
        <f>IFERROR(IF(D27="","",IF(AND('Master Data'!$I$29='GA55 Check &amp; Edit'!$AP$6),"",IF(AND('Master Data'!$I$25='GA55 Check &amp; Edit'!$AO$6),"0",IF(AND(D27="Bonus"),VLOOKUP(D27,ram,4,0),"")))),"")</f>
        <v/>
      </c>
      <c r="O27" s="114" t="str">
        <f>IF(D27="","",IF('Master Data'!$N$25="","",SUM(E27:N27)))</f>
        <v/>
      </c>
      <c r="P27" s="103" t="str">
        <f>IFERROR(IF(OR('Master Data'!$I$29='GA55 Check &amp; Edit'!$AP$6,D27=""),"",IF(AND(D27=$AX$24),"",IF(AND(D27=$AX$25),"",IF(AND(D27=$AX$26),"",IF(AND(D27=$AX$27),"",IF(AND(D27=$AX$28),"",IF(AND(D27=$AX$29),"",IF(AND(E27=""),"",VLOOKUP(D27,ram,11,0))))))))),"")</f>
        <v/>
      </c>
      <c r="Q27" s="102" t="str">
        <f>IFERROR(IF(AND('Master Data'!$I$29='GA55 Check &amp; Edit'!$AP$6),"",IF(AND(D27=$AX$25),"",IF(AND(D27=$AX$28),"",IF(AND(D27=$AX$29),"",IF(AND(D27=""),"",IF(AND(BB31=""),"",VLOOKUP(D27,ram,12,0))))))),"")</f>
        <v/>
      </c>
      <c r="R27" s="103" t="str">
        <f>IFERROR(IF(OR('Master Data'!$I$29='GA55 Check &amp; Edit'!$AP$6,D27=""),"",IF(AND(D27=$AX$24),"",IF(AND(D27=$AX$25),"",IF(AND(D27=$AX$26),"",IF(AND(D27=$AX$27),"",IF(AND(D27=$AX$28),"",IF(AND(D27=$AX$29),"",IF(AND(E27=""),"",'Master Data'!$I$44)))))))),"")</f>
        <v/>
      </c>
      <c r="S27" s="103" t="str">
        <f>IFERROR(IF(OR('Master Data'!$I$29='GA55 Check &amp; Edit'!$AP$6),"",IF(D27="","",IF(E27="","",IF(AND(D27=$AX$24),"",IF(AND(D27=$AX$25),"",IF(AND(D27=$AX$26),"",IF(AND(D27=$AX$27),"",IF(AND(D27=$AX$28),"",IF(AND(D27=$AX$29),"",VLOOKUP(D27,ram,10,0)))))))))),"")</f>
        <v/>
      </c>
      <c r="T27" s="103" t="str">
        <f>IFERROR(IF(OR('Master Data'!$I$29='GA55 Check &amp; Edit'!$AP$6,D27=""),"",IF(AND(D27=$AX$24),"",IF(AND(D27=$AX$25),"",IF(AND(D27=$AX$26),"",IF(AND(D27=$AX$27),"",IF(AND(D27=$AX$28),"",IF(AND(D27=$AX$29),"",IF(AND(E27=""),"",'Master Data'!$K$44)))))))),"")</f>
        <v/>
      </c>
      <c r="U27" s="103" t="str">
        <f>IFERROR(IF(OR('Master Data'!$I$29='GA55 Check &amp; Edit'!$AP$6,D27=""),"",IF(AND(D27=$AX$24),"",IF(AND(D27=$AX$25),"",IF(AND(D27=$AX$26),"",IF(AND(D27=$AX$27),"",IF(AND(D27=$AX$28),"",IF(AND(D27=$AX$29),"",IF(AND(E27=""),"",'Master Data'!$L$44)))))))),"")</f>
        <v/>
      </c>
      <c r="V27" s="103" t="str">
        <f>IFERROR(IF(OR('Master Data'!$I$29='GA55 Check &amp; Edit'!$AP$6,D27=""),"",IF(AND(D27=$AX$24),"",IF(AND(D27=$AX$25),"",IF(AND(D27=$AX$26),"",IF(AND(D27=$AX$27),"",IF(AND(D27=$AX$28),"",IF(AND(D27=$AX$29),"",IF(AND(E27=""),"",'Master Data'!$M$44)))))))),"")</f>
        <v/>
      </c>
      <c r="W27" s="103" t="str">
        <f>IFERROR(IF(OR('Master Data'!$I$29='GA55 Check &amp; Edit'!$AP$6,D27=""),"",IF(AND(D27=$AX$24),"",IF(AND(D27=$AX$25),"",IF(AND(D27=$AX$26),"",IF(AND(D27=$AX$27),"",IF(AND(D27=$AX$28),"",IF(AND(D27=$AX$29),"",IF(AND(E27=""),"",'Master Data'!$N$44)))))))),"")</f>
        <v/>
      </c>
      <c r="X27" s="103" t="str">
        <f>IFERROR(IF(OR('Master Data'!$I$29='GA55 Check &amp; Edit'!$AP$6,D27=""),"",IF(AND(E27=""),"",IF(AND('GA55 Check &amp; Edit'!D27='GA55 Check &amp; Edit'!$AT$17,'Master Data'!$D$18="Gazetted"),500,IF(AND('GA55 Check &amp; Edit'!D27='GA55 Check &amp; Edit'!$AT$17,'Master Data'!$D$18="Non-Gazetted"),250,"")))),"")</f>
        <v/>
      </c>
      <c r="Y27" s="103" t="str">
        <f>IFERROR(IF(D27="","",IF(AND(E27=""),"",IF(AND(D27=$AX$24),"",IF(AND(D27=$AX$25),"",IF(AND(D27=$AX$26),"",IF(AND(D27=$AX$27),"",IF(AND(D27=$AX$28),"",IF(AND(D27=$AX$29),"",IF(OR('Master Data'!$I$29='GA55 Check &amp; Edit'!$AP$6,D27=""),"",$Y$7))))))))),"")</f>
        <v/>
      </c>
      <c r="Z27" s="103"/>
      <c r="AA27" s="103" t="str">
        <f>IFERROR(IF(OR('Master Data'!$I$29='GA55 Check &amp; Edit'!$AP$6,D27="",'Master Data'!$N$35=""),"",IF(AND(E27=""),"",IF('GA55 Check &amp; Edit'!D27='GA55 Check &amp; Edit'!$AT$9,'Master Data'!$N$35,""))),"")</f>
        <v/>
      </c>
      <c r="AB27" s="115" t="str">
        <f t="shared" si="4"/>
        <v/>
      </c>
      <c r="AC27" s="116" t="str">
        <f t="shared" si="5"/>
        <v/>
      </c>
      <c r="AD27" s="117"/>
      <c r="AE27" s="131"/>
      <c r="AF27" s="1"/>
      <c r="AG27" s="108"/>
      <c r="AH27" s="109"/>
      <c r="AI27" s="109"/>
      <c r="AJ27" s="109"/>
      <c r="AK27" s="109"/>
      <c r="AL27" s="109"/>
      <c r="AM27" s="54"/>
      <c r="AN27" s="54"/>
      <c r="AO27" s="54"/>
      <c r="AP27" s="54"/>
      <c r="AQ27" s="54"/>
      <c r="AR27" s="54"/>
      <c r="AS27" s="54"/>
      <c r="AT27" s="54"/>
      <c r="AU27" s="54" t="s">
        <v>92</v>
      </c>
      <c r="AV27" s="54"/>
      <c r="AW27" s="125"/>
      <c r="AX27" s="54" t="str">
        <f t="shared" si="16"/>
        <v>DA Arrear 55% to 58%</v>
      </c>
      <c r="AY27" s="54"/>
      <c r="AZ27" s="54"/>
      <c r="BA27" s="54"/>
      <c r="BB27" s="54">
        <f>(ROUND((BA16*58%),0)-ROUND((BA16*55%),0))*3</f>
        <v>3519</v>
      </c>
      <c r="BC27" s="54">
        <f>(ROUND((BA16*58%),0)-ROUND((BA16*55%),0))*3</f>
        <v>3519</v>
      </c>
      <c r="BD27" s="54">
        <f t="shared" si="17"/>
        <v>3519</v>
      </c>
      <c r="BE27" s="54"/>
      <c r="BF27" s="54"/>
      <c r="BG27" s="54"/>
      <c r="BH27" s="54"/>
      <c r="BI27" s="127">
        <f t="shared" si="21"/>
        <v>3519</v>
      </c>
      <c r="BJ27" s="54"/>
      <c r="BK27" s="130">
        <v>46174.0</v>
      </c>
      <c r="BL27" s="130">
        <f>IFERROR(IF('Master Data'!$N$25="","",IF('Master Data'!$F$41="","",IF(AND($AZ$17&gt;$AZ$9),"",DATE(YEAR(BL26),MONTH(BL26)+1,DAY(BL26))))),"")</f>
        <v>46174</v>
      </c>
      <c r="BM27" s="54" t="s">
        <v>93</v>
      </c>
      <c r="BN27" s="130" t="str">
        <f t="shared" si="10"/>
        <v/>
      </c>
      <c r="BO27" s="130" t="str">
        <f t="shared" si="14"/>
        <v>DA Arrear 55% to 58%</v>
      </c>
      <c r="BP27" s="130"/>
      <c r="BQ27" s="130" t="str">
        <f t="shared" si="11"/>
        <v/>
      </c>
      <c r="BR27" s="54"/>
      <c r="BS27" s="55"/>
      <c r="BT27" s="54"/>
      <c r="BU27" s="55"/>
      <c r="BV27" s="130"/>
      <c r="BW27" s="54">
        <f t="shared" si="18"/>
        <v>16</v>
      </c>
      <c r="BX27" s="55" t="str">
        <f t="shared" si="19"/>
        <v/>
      </c>
      <c r="BY27" s="54"/>
      <c r="BZ27" s="55" t="str">
        <f t="shared" si="20"/>
        <v/>
      </c>
      <c r="CA27" s="54"/>
      <c r="CB27" s="54"/>
      <c r="CC27" s="54"/>
      <c r="CD27" s="54"/>
      <c r="CE27" s="54"/>
      <c r="CF27" s="54"/>
      <c r="CG27" s="54"/>
      <c r="CH27" s="54"/>
      <c r="CI27" s="109"/>
      <c r="CJ27" s="109"/>
      <c r="CK27" s="109"/>
      <c r="CL27" s="109"/>
      <c r="CM27" s="109"/>
      <c r="CN27" s="109"/>
      <c r="CO27" s="109"/>
      <c r="CP27" s="108"/>
      <c r="CQ27" s="108"/>
      <c r="CR27" s="108"/>
      <c r="CS27" s="108"/>
      <c r="CT27" s="108"/>
    </row>
    <row r="28" ht="21.0" customHeight="1">
      <c r="A28" s="1">
        <f t="shared" si="1"/>
        <v>0</v>
      </c>
      <c r="B28" s="96">
        <f t="shared" si="6"/>
        <v>0</v>
      </c>
      <c r="C28" s="132" t="str">
        <f t="shared" si="2"/>
        <v/>
      </c>
      <c r="D28" s="111" t="str">
        <f t="shared" si="3"/>
        <v/>
      </c>
      <c r="E28" s="112" t="str">
        <f>IFERROR(IF(D28="","",IF(AND(BQ32=""),"",IF(AND('Master Data'!$I$29='GA55 Check &amp; Edit'!$AP$6),VLOOKUP(D28,ram,13,0),VLOOKUP(D28,ram,4,0)))),"")</f>
        <v/>
      </c>
      <c r="F28" s="113" t="str">
        <f>IFERROR(IF(D28="","",IF(D28=$AX$24,"",IF(AND(D28=$AX$28),"",IF(AND('Master Data'!$I$29='GA55 Check &amp; Edit'!$AP$5),VLOOKUP(D28,ram,7,0),"")))),"")</f>
        <v/>
      </c>
      <c r="G28" s="113" t="str">
        <f>IFERROR(IF(D28="","",IF(D28=$AX$24,"",IF(AND(D28=$AX$25),"",IF(AND(D28=$AX$26),"",IF(AND(D28=$AX$27),"",IF(AND(D28=$AX$28),"",IF(AND(D28=$AX$29),"",IF(AND('Master Data'!$I$29='GA55 Check &amp; Edit'!$AP$6),"",VLOOKUP(D28,ram,8,0))))))))),"")</f>
        <v/>
      </c>
      <c r="H28" s="113" t="str">
        <f>IFERROR(IF(D28="","",IF(AND(E28=""),"",IF(OR(D28=$AX$24,D28=$AX$25,D28=$AX$26,D28=$AX$27,D28=$AX$28,D28=$AX$29),"",IF(AND('Master Data'!$I$29='GA55 Check &amp; Edit'!$AP$5),'Master Data'!$B$44,"")))),"")</f>
        <v/>
      </c>
      <c r="I28" s="113" t="str">
        <f>IFERROR(IF(D28="","",IF(AND(E28=""),"",IF(OR(D28=$AX$24,D28=$AX$25,D28=$AX$26,D28=$AX$27,D28=$AX$28,D28=$AX$29),"",IF(AND('Master Data'!$I$29='GA55 Check &amp; Edit'!$AP$5,'Master Data'!$E$29='GA55 Check &amp; Edit'!$AO$5),'Master Data'!$E$31,"0")))),"")</f>
        <v/>
      </c>
      <c r="J28" s="113" t="str">
        <f>IFERROR(IF(OR('Master Data'!$E$33=$AO$6,'Master Data'!$E$33=""),"",IF(D28="","",IF(AND(E28=""),"",IF(OR(D28=$AX$24,D28=$AX$25,D28=$AX$26,D28=$AX$27,D28=$AX$28,D28=$AX$29),"",IF(AND('Master Data'!$I$29='GA55 Check &amp; Edit'!$AP$6),"",IF(AND('Master Data'!$I$33=$AR$9),$AS$6,IF(AND('Master Data'!$I$33=$AR$10),$AS$6,IF(AND('Master Data'!$I$33=$AR$11),$AS$6,IF(AND('Master Data'!$I$33=$AR$12),$AS$6,$AS$5))))))))),"")</f>
        <v/>
      </c>
      <c r="K28" s="113" t="str">
        <f>IFERROR(IF(D28="","",IF(AND(E28=""),"",IF(OR(D28=$AX$24,D28=$AX$25,D28=$AX$26,D28=$AX$27,D28=$AX$28,D28=$AX$29),"",IF(AND('Master Data'!$I$29='GA55 Check &amp; Edit'!$AP$5),'Master Data'!$C$44,"")))),"")</f>
        <v/>
      </c>
      <c r="L28" s="113" t="str">
        <f>IFERROR(IF(D28="","",IF(AND(E28=""),"",IF(OR(D28=$AX$24,D28=$AX$25,D28=$AX$26,D28=$AX$27,D28=$AX$28,D28=$AX$29),"",IF(AND('Master Data'!$I$29='GA55 Check &amp; Edit'!$AP$6),"",'Master Data'!$D$44)))),"")</f>
        <v/>
      </c>
      <c r="M28" s="113" t="str">
        <f>IFERROR(IF(D28="","",IF(AND(E28=""),"",IF(OR(D28=$AX$24,D28=$AX$25,D28=$AX$26,D28=$AX$27,D28=$AX$28,D28=$AX$29),"",IF(AND('Master Data'!$I$29='GA55 Check &amp; Edit'!$AP$6),"",'Master Data'!$E$44)))),"")</f>
        <v/>
      </c>
      <c r="N28" s="113" t="str">
        <f>IFERROR(IF(D28="","",IF(AND('Master Data'!$I$29='GA55 Check &amp; Edit'!$AP$6),"",IF(AND('Master Data'!$I$25='GA55 Check &amp; Edit'!$AO$6),"0",IF(AND(D28="Bonus"),VLOOKUP(D28,ram,4,0),"")))),"")</f>
        <v/>
      </c>
      <c r="O28" s="114" t="str">
        <f>IF(D28="","",IF('Master Data'!$N$25="","",SUM(E28:N28)))</f>
        <v/>
      </c>
      <c r="P28" s="103" t="str">
        <f>IFERROR(IF(OR('Master Data'!$I$29='GA55 Check &amp; Edit'!$AP$6,D28=""),"",IF(AND(D28=$AX$24),"",IF(AND(D28=$AX$25),"",IF(AND(D28=$AX$26),"",IF(AND(D28=$AX$27),"",IF(AND(D28=$AX$28),"",IF(AND(D28=$AX$29),"",IF(AND(E28=""),"",VLOOKUP(D28,ram,11,0))))))))),"")</f>
        <v/>
      </c>
      <c r="Q28" s="102" t="str">
        <f>IFERROR(IF(AND('Master Data'!$I$29='GA55 Check &amp; Edit'!$AP$6),"",IF(AND(D28=$AX$25),"",IF(AND(D28=$AX$28),"",IF(AND(D28=$AX$29),"",IF(AND(D28=""),"",IF(AND(BB32=""),"",VLOOKUP(D28,ram,12,0))))))),"")</f>
        <v/>
      </c>
      <c r="R28" s="103" t="str">
        <f>IFERROR(IF(OR('Master Data'!$I$29='GA55 Check &amp; Edit'!$AP$6,D28=""),"",IF(AND(D28=$AX$24),"",IF(AND(D28=$AX$25),"",IF(AND(D28=$AX$26),"",IF(AND(D28=$AX$27),"",IF(AND(D28=$AX$28),"",IF(AND(D28=$AX$29),"",IF(AND(E28=""),"",'Master Data'!$I$44)))))))),"")</f>
        <v/>
      </c>
      <c r="S28" s="103" t="str">
        <f>IFERROR(IF(OR('Master Data'!$I$29='GA55 Check &amp; Edit'!$AP$6),"",IF(D28="","",IF(E28="","",IF(AND(D28=$AX$24),"",IF(AND(D28=$AX$25),"",IF(AND(D28=$AX$26),"",IF(AND(D28=$AX$27),"",IF(AND(D28=$AX$28),"",IF(AND(D28=$AX$29),"",VLOOKUP(D28,ram,10,0)))))))))),"")</f>
        <v/>
      </c>
      <c r="T28" s="103" t="str">
        <f>IFERROR(IF(OR('Master Data'!$I$29='GA55 Check &amp; Edit'!$AP$6,D28=""),"",IF(AND(D28=$AX$24),"",IF(AND(D28=$AX$25),"",IF(AND(D28=$AX$26),"",IF(AND(D28=$AX$27),"",IF(AND(D28=$AX$28),"",IF(AND(D28=$AX$29),"",IF(AND(E28=""),"",'Master Data'!$K$44)))))))),"")</f>
        <v/>
      </c>
      <c r="U28" s="103" t="str">
        <f>IFERROR(IF(OR('Master Data'!$I$29='GA55 Check &amp; Edit'!$AP$6,D28=""),"",IF(AND(D28=$AX$24),"",IF(AND(D28=$AX$25),"",IF(AND(D28=$AX$26),"",IF(AND(D28=$AX$27),"",IF(AND(D28=$AX$28),"",IF(AND(D28=$AX$29),"",IF(AND(E28=""),"",'Master Data'!$L$44)))))))),"")</f>
        <v/>
      </c>
      <c r="V28" s="103" t="str">
        <f>IFERROR(IF(OR('Master Data'!$I$29='GA55 Check &amp; Edit'!$AP$6,D28=""),"",IF(AND(D28=$AX$24),"",IF(AND(D28=$AX$25),"",IF(AND(D28=$AX$26),"",IF(AND(D28=$AX$27),"",IF(AND(D28=$AX$28),"",IF(AND(D28=$AX$29),"",IF(AND(E28=""),"",'Master Data'!$M$44)))))))),"")</f>
        <v/>
      </c>
      <c r="W28" s="103" t="str">
        <f>IFERROR(IF(OR('Master Data'!$I$29='GA55 Check &amp; Edit'!$AP$6,D28=""),"",IF(AND(D28=$AX$24),"",IF(AND(D28=$AX$25),"",IF(AND(D28=$AX$26),"",IF(AND(D28=$AX$27),"",IF(AND(D28=$AX$28),"",IF(AND(D28=$AX$29),"",IF(AND(E28=""),"",'Master Data'!$N$44)))))))),"")</f>
        <v/>
      </c>
      <c r="X28" s="103" t="str">
        <f>IFERROR(IF(OR('Master Data'!$I$29='GA55 Check &amp; Edit'!$AP$6,D28=""),"",IF(AND(E28=""),"",IF(AND('GA55 Check &amp; Edit'!D28='GA55 Check &amp; Edit'!$AT$17,'Master Data'!$D$18="Gazetted"),500,IF(AND('GA55 Check &amp; Edit'!D28='GA55 Check &amp; Edit'!$AT$17,'Master Data'!$D$18="Non-Gazetted"),250,"")))),"")</f>
        <v/>
      </c>
      <c r="Y28" s="103" t="str">
        <f>IFERROR(IF(D28="","",IF(AND(E28=""),"",IF(AND(D28=$AX$24),"",IF(AND(D28=$AX$25),"",IF(AND(D28=$AX$26),"",IF(AND(D28=$AX$27),"",IF(AND(D28=$AX$28),"",IF(AND(D28=$AX$29),"",IF(OR('Master Data'!$I$29='GA55 Check &amp; Edit'!$AP$6,D28=""),"",$Y$7))))))))),"")</f>
        <v/>
      </c>
      <c r="Z28" s="103"/>
      <c r="AA28" s="103" t="str">
        <f>IFERROR(IF(OR('Master Data'!$I$29='GA55 Check &amp; Edit'!$AP$6,D28="",'Master Data'!$N$35=""),"",IF(AND(E28=""),"",IF('GA55 Check &amp; Edit'!D28='GA55 Check &amp; Edit'!$AT$9,'Master Data'!$N$35,""))),"")</f>
        <v/>
      </c>
      <c r="AB28" s="115" t="str">
        <f t="shared" si="4"/>
        <v/>
      </c>
      <c r="AC28" s="116" t="str">
        <f t="shared" si="5"/>
        <v/>
      </c>
      <c r="AD28" s="133"/>
      <c r="AE28" s="134"/>
      <c r="AF28" s="1"/>
      <c r="AG28" s="108"/>
      <c r="AH28" s="109"/>
      <c r="AI28" s="109"/>
      <c r="AJ28" s="109"/>
      <c r="AK28" s="109"/>
      <c r="AL28" s="109"/>
      <c r="AM28" s="54"/>
      <c r="AN28" s="54"/>
      <c r="AO28" s="54"/>
      <c r="AP28" s="54"/>
      <c r="AQ28" s="54"/>
      <c r="AR28" s="54"/>
      <c r="AS28" s="54"/>
      <c r="AT28" s="54"/>
      <c r="AU28" s="54" t="s">
        <v>94</v>
      </c>
      <c r="AV28" s="54"/>
      <c r="AW28" s="125"/>
      <c r="AX28" s="54" t="str">
        <f t="shared" si="16"/>
        <v>ACP/MACP Arrear</v>
      </c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127"/>
      <c r="BJ28" s="54"/>
      <c r="BK28" s="130">
        <v>46204.0</v>
      </c>
      <c r="BL28" s="130">
        <f>IFERROR(IF('Master Data'!$N$25="","",IF('Master Data'!$F$41="","",IF(AND($AZ$17&gt;$AZ$9),"",DATE(YEAR(BL27),MONTH(BL27)+1,DAY(BL27))))),"")</f>
        <v>46204</v>
      </c>
      <c r="BM28" s="54" t="s">
        <v>95</v>
      </c>
      <c r="BN28" s="130" t="str">
        <f t="shared" si="10"/>
        <v/>
      </c>
      <c r="BO28" s="130" t="str">
        <f t="shared" si="14"/>
        <v>ACP/MACP Arrear</v>
      </c>
      <c r="BP28" s="54"/>
      <c r="BQ28" s="130" t="str">
        <f t="shared" si="11"/>
        <v/>
      </c>
      <c r="BR28" s="54"/>
      <c r="BS28" s="55"/>
      <c r="BT28" s="54"/>
      <c r="BU28" s="55"/>
      <c r="BV28" s="130"/>
      <c r="BW28" s="54">
        <f t="shared" si="18"/>
        <v>17</v>
      </c>
      <c r="BX28" s="55">
        <f t="shared" si="19"/>
        <v>0</v>
      </c>
      <c r="BY28" s="54"/>
      <c r="BZ28" s="55" t="str">
        <f t="shared" si="20"/>
        <v/>
      </c>
      <c r="CA28" s="54"/>
      <c r="CB28" s="54"/>
      <c r="CC28" s="54"/>
      <c r="CD28" s="54"/>
      <c r="CE28" s="54"/>
      <c r="CF28" s="54"/>
      <c r="CG28" s="54"/>
      <c r="CH28" s="54"/>
      <c r="CI28" s="109"/>
      <c r="CJ28" s="109"/>
      <c r="CK28" s="109"/>
      <c r="CL28" s="109"/>
      <c r="CM28" s="109"/>
      <c r="CN28" s="109"/>
      <c r="CO28" s="109"/>
      <c r="CP28" s="108"/>
      <c r="CQ28" s="108"/>
      <c r="CR28" s="108"/>
      <c r="CS28" s="108"/>
      <c r="CT28" s="108"/>
    </row>
    <row r="29" ht="21.0" customHeight="1">
      <c r="A29" s="45"/>
      <c r="B29" s="45"/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45"/>
      <c r="X29" s="135"/>
      <c r="Y29" s="135"/>
      <c r="Z29" s="135"/>
      <c r="AA29" s="135"/>
      <c r="AB29" s="45"/>
      <c r="AC29" s="135"/>
      <c r="AD29" s="135"/>
      <c r="AE29" s="135"/>
      <c r="AF29" s="135"/>
      <c r="AG29" s="136"/>
      <c r="AH29" s="137"/>
      <c r="AI29" s="137"/>
      <c r="AJ29" s="137"/>
      <c r="AK29" s="137"/>
      <c r="AL29" s="137"/>
      <c r="AM29" s="138"/>
      <c r="AN29" s="138"/>
      <c r="AO29" s="138"/>
      <c r="AP29" s="138"/>
      <c r="AQ29" s="138"/>
      <c r="AR29" s="138"/>
      <c r="AS29" s="138"/>
      <c r="AT29" s="138"/>
      <c r="AU29" s="54" t="s">
        <v>96</v>
      </c>
      <c r="AV29" s="138"/>
      <c r="AW29" s="139"/>
      <c r="AX29" s="54" t="str">
        <f t="shared" ref="AX29:AX32" si="22">IF(BM29="","",BM29)</f>
        <v>PL Surrender Arrear</v>
      </c>
      <c r="AY29" s="140"/>
      <c r="AZ29" s="140"/>
      <c r="BA29" s="140"/>
      <c r="BB29" s="140"/>
      <c r="BC29" s="54" t="str">
        <f>IF('Master Data'!$I$29='GA55 Check &amp; Edit'!$AP$6,"",IF(AND(BA25=""),"",IF(OR('Master Data'!I23='GA55 Check &amp; Edit'!AW10,'Master Data'!I23='GA55 Check &amp; Edit'!AW11,'Master Data'!I23='GA55 Check &amp; Edit'!AW12),ROUND(2%*BA25,0),IF(OR('Master Data'!I23='GA55 Check &amp; Edit'!AW16,'Master Data'!I23='GA55 Check &amp; Edit'!AW17,'Master Data'!I23='GA55 Check &amp; Edit'!AW18),ROUND(3%*BA25,0),""))))</f>
        <v/>
      </c>
      <c r="BD29" s="54" t="str">
        <f t="shared" ref="BD29:BD32" si="23">IF(BC29="","",BC29)</f>
        <v/>
      </c>
      <c r="BE29" s="140"/>
      <c r="BF29" s="140"/>
      <c r="BG29" s="140"/>
      <c r="BH29" s="140"/>
      <c r="BI29" s="127" t="str">
        <f>BD29</f>
        <v/>
      </c>
      <c r="BJ29" s="140"/>
      <c r="BK29" s="130">
        <v>46235.0</v>
      </c>
      <c r="BL29" s="130">
        <f>IFERROR(IF('Master Data'!$N$25="","",IF('Master Data'!$F$41="","",IF(AND($AZ$17&gt;$AZ$9),"",DATE(YEAR(BL28),MONTH(BL28)+1,DAY(BL28))))),"")</f>
        <v>46235</v>
      </c>
      <c r="BM29" s="54" t="s">
        <v>97</v>
      </c>
      <c r="BN29" s="130" t="str">
        <f t="shared" si="10"/>
        <v/>
      </c>
      <c r="BO29" s="130" t="str">
        <f t="shared" si="14"/>
        <v>PL Surrender Arrear</v>
      </c>
      <c r="BP29" s="138"/>
      <c r="BQ29" s="130" t="str">
        <f t="shared" si="11"/>
        <v/>
      </c>
      <c r="BR29" s="138"/>
      <c r="BS29" s="138"/>
      <c r="BT29" s="138"/>
      <c r="BU29" s="141"/>
      <c r="BV29" s="142"/>
      <c r="BW29" s="54">
        <f t="shared" si="18"/>
        <v>18</v>
      </c>
      <c r="BX29" s="55">
        <f t="shared" si="19"/>
        <v>0</v>
      </c>
      <c r="BY29" s="138"/>
      <c r="BZ29" s="55" t="str">
        <f t="shared" si="20"/>
        <v/>
      </c>
      <c r="CA29" s="138"/>
      <c r="CB29" s="138"/>
      <c r="CC29" s="138"/>
      <c r="CD29" s="138"/>
      <c r="CE29" s="138"/>
      <c r="CF29" s="138"/>
      <c r="CG29" s="138"/>
      <c r="CH29" s="138"/>
      <c r="CI29" s="137"/>
      <c r="CJ29" s="137"/>
      <c r="CK29" s="137"/>
      <c r="CL29" s="137"/>
      <c r="CM29" s="137"/>
      <c r="CN29" s="137"/>
      <c r="CO29" s="137"/>
      <c r="CP29" s="136"/>
      <c r="CQ29" s="136"/>
      <c r="CR29" s="136"/>
      <c r="CS29" s="136"/>
      <c r="CT29" s="136"/>
    </row>
    <row r="30" ht="21.0" customHeight="1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50"/>
      <c r="AG30" s="51"/>
      <c r="AH30" s="52"/>
      <c r="AI30" s="52"/>
      <c r="AJ30" s="52"/>
      <c r="AK30" s="52"/>
      <c r="AL30" s="52"/>
      <c r="AM30" s="53"/>
      <c r="AN30" s="53"/>
      <c r="AO30" s="53"/>
      <c r="AP30" s="53"/>
      <c r="AQ30" s="53"/>
      <c r="AR30" s="53"/>
      <c r="AS30" s="53"/>
      <c r="AT30" s="53"/>
      <c r="AU30" s="54" t="s">
        <v>98</v>
      </c>
      <c r="AV30" s="53"/>
      <c r="AW30" s="54"/>
      <c r="AX30" s="89" t="str">
        <f t="shared" si="22"/>
        <v>Fixation arrear</v>
      </c>
      <c r="AY30" s="54"/>
      <c r="AZ30" s="54"/>
      <c r="BA30" s="54" t="str">
        <f>IF(AND('Master Data'!$E$37=""),"",IF('Master Data'!$N$33='GA55 Check &amp; Edit'!$AO$5,'Master Data'!$E$37,""))</f>
        <v/>
      </c>
      <c r="BB30" s="54" t="str">
        <f>IF('Master Data'!$N$33='GA55 Check &amp; Edit'!$AO$5,BA30,"")</f>
        <v/>
      </c>
      <c r="BC30" s="54" t="str">
        <f>IFERROR(IF(AND('Master Data'!$E$37=""),"",ROUND(17%*BB30,0)),"")</f>
        <v/>
      </c>
      <c r="BD30" s="54" t="str">
        <f t="shared" si="23"/>
        <v/>
      </c>
      <c r="BE30" s="54"/>
      <c r="BF30" s="54"/>
      <c r="BG30" s="54" t="b">
        <f>IF(AND('Master Data'!$I$29='GA55 Check &amp; Edit'!$AP$6),"",IF(AND('Master Data'!$I$31='GA55 Check &amp; Edit'!$AN$6,'Master Data'!$N$37='GA55 Check &amp; Edit'!$AO$6),0,IF(AND('Master Data'!$I$31='GA55 Check &amp; Edit'!$AN$6,'Master Data'!$N$37='GA55 Check &amp; Edit'!$AO$5),'Master Data'!$J$44,IF(AND('Master Data'!$I$31='GA55 Check &amp; Edit'!$AN$5),IF($AZ$15&lt;18001,265,IF($AZ$15&lt;33501,440,IF($AZ$15&lt;54001,658,875)))))))</f>
        <v>0</v>
      </c>
      <c r="BH30" s="54" t="str">
        <f>IFERROR(IF(OR('Master Data'!$I$29='GA55 Check &amp; Edit'!$AP$6),"",IF('Master Data'!$N$33='GA55 Check &amp; Edit'!$AO$5,'Master Data'!$G$44,"")),"")</f>
        <v/>
      </c>
      <c r="BI30" s="54">
        <f>IFERROR(IF('Master Data'!$N$33='GA55 Check &amp; Edit'!$AO$6,"",IF(AND('Master Data'!I$31='GA55 Check &amp; Edit'!$AN$6),ROUND((BB30)*0.1,0),IF(AND('Master Data'!$I$29='GA55 Check &amp; Edit'!$AP$6),ROUND((BB30+BD30)*0.1,0),'Master Data'!$H$44))),"")</f>
        <v>0</v>
      </c>
      <c r="BJ30" s="54"/>
      <c r="BK30" s="130">
        <v>46266.0</v>
      </c>
      <c r="BL30" s="130">
        <f>IFERROR(IF('Master Data'!$N$25="","",IF('Master Data'!$F$41="","",IF(AND($AZ$17&gt;$AZ$9),"",DATE(YEAR(BL29),MONTH(BL29)+1,DAY(BL29))))),"")</f>
        <v>46266</v>
      </c>
      <c r="BM30" s="89" t="s">
        <v>99</v>
      </c>
      <c r="BN30" s="130" t="str">
        <f t="shared" si="10"/>
        <v/>
      </c>
      <c r="BO30" s="130" t="str">
        <f t="shared" si="14"/>
        <v>Fixation arrear</v>
      </c>
      <c r="BP30" s="53"/>
      <c r="BQ30" s="130" t="str">
        <f t="shared" si="11"/>
        <v>Fixation arrear</v>
      </c>
      <c r="BR30" s="53"/>
      <c r="BS30" s="53"/>
      <c r="BT30" s="53"/>
      <c r="BU30" s="53"/>
      <c r="BV30" s="130"/>
      <c r="BW30" s="54">
        <f t="shared" si="18"/>
        <v>19</v>
      </c>
      <c r="BX30" s="55">
        <f t="shared" si="19"/>
        <v>0</v>
      </c>
      <c r="BY30" s="53"/>
      <c r="BZ30" s="55" t="str">
        <f t="shared" si="20"/>
        <v/>
      </c>
      <c r="CA30" s="53"/>
      <c r="CB30" s="53"/>
      <c r="CC30" s="53"/>
      <c r="CD30" s="53"/>
      <c r="CE30" s="53"/>
      <c r="CF30" s="53"/>
      <c r="CG30" s="53"/>
      <c r="CH30" s="53"/>
      <c r="CI30" s="52"/>
      <c r="CJ30" s="52"/>
      <c r="CK30" s="52"/>
      <c r="CL30" s="52"/>
      <c r="CM30" s="52"/>
      <c r="CN30" s="52"/>
      <c r="CO30" s="52"/>
      <c r="CP30" s="51"/>
      <c r="CQ30" s="51"/>
      <c r="CR30" s="51"/>
      <c r="CS30" s="51"/>
      <c r="CT30" s="51"/>
    </row>
    <row r="31" ht="21.0" customHeight="1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50"/>
      <c r="AG31" s="51"/>
      <c r="AH31" s="52"/>
      <c r="AI31" s="52"/>
      <c r="AJ31" s="52"/>
      <c r="AK31" s="52"/>
      <c r="AL31" s="52"/>
      <c r="AM31" s="53"/>
      <c r="AN31" s="53"/>
      <c r="AO31" s="53"/>
      <c r="AP31" s="53"/>
      <c r="AQ31" s="53"/>
      <c r="AR31" s="53"/>
      <c r="AS31" s="53"/>
      <c r="AT31" s="53"/>
      <c r="AU31" s="54" t="s">
        <v>100</v>
      </c>
      <c r="AV31" s="53"/>
      <c r="AW31" s="54"/>
      <c r="AX31" s="89" t="str">
        <f t="shared" si="22"/>
        <v/>
      </c>
      <c r="AY31" s="54"/>
      <c r="AZ31" s="54"/>
      <c r="BA31" s="54" t="str">
        <f>IF(AND('Master Data'!$E$37=""),"",IF('Master Data'!$N$35='GA55 Check &amp; Edit'!$AO$5,'Master Data'!$E$37,""))</f>
        <v/>
      </c>
      <c r="BB31" s="54" t="str">
        <f>IF('Master Data'!$N$35='GA55 Check &amp; Edit'!$AO$5,BA31,"")</f>
        <v/>
      </c>
      <c r="BC31" s="54" t="str">
        <f>IFERROR(IF(AND('Master Data'!$E$37=""),"",ROUND(17%*BB31,0)),"")</f>
        <v/>
      </c>
      <c r="BD31" s="54" t="str">
        <f t="shared" si="23"/>
        <v/>
      </c>
      <c r="BE31" s="54" t="str">
        <f>IFERROR(IF(AND('Master Data'!$E$37=""),"",ROUND('Master Data'!$E$31%*BB31,0)),"")</f>
        <v/>
      </c>
      <c r="BF31" s="54"/>
      <c r="BG31" s="54" t="b">
        <f>IF(AND('Master Data'!$I$29='GA55 Check &amp; Edit'!$AP$6),"",IF(AND('Master Data'!$I$31='GA55 Check &amp; Edit'!$AN$6,'Master Data'!$N$37='GA55 Check &amp; Edit'!$AO$6),0,IF(AND('Master Data'!$I$31='GA55 Check &amp; Edit'!$AN$6,'Master Data'!$N$37='GA55 Check &amp; Edit'!$AO$5),'Master Data'!$J$44,IF(AND('Master Data'!$I$31='GA55 Check &amp; Edit'!$AN$5),IF($AZ$15&lt;18001,265,IF($AZ$15&lt;33501,440,IF($AZ$15&lt;54001,658,875)))))))</f>
        <v>0</v>
      </c>
      <c r="BH31" s="54" t="str">
        <f>IFERROR(IF(OR('Master Data'!$I$29='GA55 Check &amp; Edit'!$AP$6),"",IF('Master Data'!$N$35='GA55 Check &amp; Edit'!$AO$5,'Master Data'!$G$44,"")),"")</f>
        <v/>
      </c>
      <c r="BI31" s="54">
        <f>IFERROR(IF('Master Data'!$N$35='GA55 Check &amp; Edit'!$AO$6,"",IF(AND('Master Data'!I$31='GA55 Check &amp; Edit'!$AN$6),ROUND((BB31)*0.1,0),IF(AND('Master Data'!$I$29='GA55 Check &amp; Edit'!$AP$6),ROUND((BB31+BD31)*0.1,0),'Master Data'!$H$44))),"")</f>
        <v>0</v>
      </c>
      <c r="BJ31" s="54"/>
      <c r="BK31" s="130">
        <v>46296.0</v>
      </c>
      <c r="BL31" s="130">
        <f>IFERROR(IF('Master Data'!$N$25="","",IF('Master Data'!$F$41="","",IF(AND($AZ$17&gt;$AZ$9),"",DATE(YEAR(BL30),MONTH(BL30)+1,DAY(BL30))))),"")</f>
        <v>46296</v>
      </c>
      <c r="BM31" s="89" t="str">
        <f>IF(OR('Master Data'!N35='GA55 Check &amp; Edit'!AO5,'Master Data'!N41='GA55 Check &amp; Edit'!AO5),'GA55 Check &amp; Edit'!AX11,"")</f>
        <v/>
      </c>
      <c r="BN31" s="130" t="str">
        <f t="shared" si="10"/>
        <v/>
      </c>
      <c r="BO31" s="130" t="str">
        <f t="shared" ref="BO31:BO33" si="24">IFERROR(IF(BM31="","",IF(AND(BL31=$BK$24),$BM$24,IF(AND(BL31=$BK$25),$BM$25,IF(AND(BL31=$BK$26),$BM$26,IF(AND(BL31=$BK$27),$BM$27,IF(AND(BL31=$BK$28),$BM$28,IF(AND(BL31=$BK$29),$BM$29,IF(AND(BL31=$BK$30),$BM$30,IF(AND(BL31=$BK$31),$BM$31,IF(AND(BL31=$BK$32),$BM$32,BN31)))))))))),"")</f>
        <v/>
      </c>
      <c r="BP31" s="53"/>
      <c r="BQ31" s="130" t="str">
        <f t="shared" si="11"/>
        <v/>
      </c>
      <c r="BR31" s="53"/>
      <c r="BS31" s="53"/>
      <c r="BT31" s="53"/>
      <c r="BU31" s="53"/>
      <c r="BV31" s="53"/>
      <c r="BW31" s="54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2"/>
      <c r="CJ31" s="52"/>
      <c r="CK31" s="52"/>
      <c r="CL31" s="52"/>
      <c r="CM31" s="52"/>
      <c r="CN31" s="52"/>
      <c r="CO31" s="52"/>
      <c r="CP31" s="51"/>
      <c r="CQ31" s="51"/>
      <c r="CR31" s="51"/>
      <c r="CS31" s="51"/>
      <c r="CT31" s="51"/>
    </row>
    <row r="32" ht="21.0" hidden="1" customHeight="1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50"/>
      <c r="AG32" s="51"/>
      <c r="AH32" s="52"/>
      <c r="AI32" s="52"/>
      <c r="AJ32" s="52"/>
      <c r="AK32" s="52"/>
      <c r="AL32" s="52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4"/>
      <c r="AX32" s="89" t="str">
        <f t="shared" si="22"/>
        <v/>
      </c>
      <c r="AY32" s="54"/>
      <c r="AZ32" s="54"/>
      <c r="BA32" s="54" t="str">
        <f>IF('Master Data'!N41='GA55 Check &amp; Edit'!$AO$5,(AZ3-AZ1),"")</f>
        <v/>
      </c>
      <c r="BB32" s="54" t="str">
        <f>IF('Master Data'!N41='GA55 Check &amp; Edit'!$AO$5,BA32,"")</f>
        <v/>
      </c>
      <c r="BC32" s="54" t="str">
        <f>IF(OR('Master Data'!$E$37="",BB32=""),"",ROUND(17%*BB32,0))</f>
        <v/>
      </c>
      <c r="BD32" s="54" t="str">
        <f t="shared" si="23"/>
        <v/>
      </c>
      <c r="BE32" s="54" t="str">
        <f>IFERROR(IF(AND('Master Data'!$E$37=""),"",ROUND('Master Data'!$E$31%*BB32,0)),"")</f>
        <v/>
      </c>
      <c r="BF32" s="54"/>
      <c r="BG32" s="54"/>
      <c r="BH32" s="54"/>
      <c r="BI32" s="54">
        <f>IFERROR(IF(AND('Master Data'!$I$31='GA55 Check &amp; Edit'!$AN$6),ROUND((E19)*0.1,0),IF(AND('Master Data'!$I$29='GA55 Check &amp; Edit'!$AP$6),ROUND((E19+F19)*0.1,0),'Master Data'!$H$44)),"")</f>
        <v>3910</v>
      </c>
      <c r="BJ32" s="54"/>
      <c r="BK32" s="130">
        <v>45597.0</v>
      </c>
      <c r="BL32" s="142" t="str">
        <f>IFERROR(IF('Master Data'!$E$37="","",IF('Master Data'!$F$41="","",IF(AND($AZ$17&gt;$AZ$9),"",DATE(YEAR(BL31),MONTH(BL31)+1,DAY(BL31))))),"")</f>
        <v/>
      </c>
      <c r="BM32" s="143" t="str">
        <f>IF('Master Data'!N41='GA55 Check &amp; Edit'!AO5,CONCATENATE("Defer Salary"," - ","March-20"),"")</f>
        <v/>
      </c>
      <c r="BN32" s="130" t="str">
        <f t="shared" si="10"/>
        <v/>
      </c>
      <c r="BO32" s="130" t="str">
        <f t="shared" si="24"/>
        <v/>
      </c>
      <c r="BP32" s="53"/>
      <c r="BQ32" s="130" t="str">
        <f t="shared" si="11"/>
        <v/>
      </c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2"/>
      <c r="CJ32" s="52"/>
      <c r="CK32" s="52"/>
      <c r="CL32" s="52"/>
      <c r="CM32" s="52"/>
      <c r="CN32" s="52"/>
      <c r="CO32" s="52"/>
      <c r="CP32" s="51"/>
      <c r="CQ32" s="51"/>
      <c r="CR32" s="51"/>
      <c r="CS32" s="51"/>
      <c r="CT32" s="51"/>
    </row>
    <row r="33" ht="21.0" hidden="1" customHeight="1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50"/>
      <c r="AG33" s="51"/>
      <c r="AH33" s="52"/>
      <c r="AI33" s="52"/>
      <c r="AJ33" s="52"/>
      <c r="AK33" s="52"/>
      <c r="AL33" s="52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3"/>
      <c r="BL33" s="53"/>
      <c r="BM33" s="53"/>
      <c r="BN33" s="53"/>
      <c r="BO33" s="130" t="str">
        <f t="shared" si="24"/>
        <v/>
      </c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2"/>
      <c r="CJ33" s="52"/>
      <c r="CK33" s="52"/>
      <c r="CL33" s="52"/>
      <c r="CM33" s="52"/>
      <c r="CN33" s="52"/>
      <c r="CO33" s="52"/>
      <c r="CP33" s="51"/>
      <c r="CQ33" s="51"/>
      <c r="CR33" s="51"/>
      <c r="CS33" s="51"/>
      <c r="CT33" s="51"/>
    </row>
    <row r="34" ht="21.0" hidden="1" customHeight="1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50"/>
      <c r="AG34" s="51"/>
      <c r="AH34" s="52"/>
      <c r="AI34" s="52"/>
      <c r="AJ34" s="52"/>
      <c r="AK34" s="52"/>
      <c r="AL34" s="52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2"/>
      <c r="CJ34" s="52"/>
      <c r="CK34" s="52"/>
      <c r="CL34" s="52"/>
      <c r="CM34" s="52"/>
      <c r="CN34" s="52"/>
      <c r="CO34" s="52"/>
      <c r="CP34" s="51"/>
      <c r="CQ34" s="51"/>
      <c r="CR34" s="51"/>
      <c r="CS34" s="51"/>
      <c r="CT34" s="51"/>
    </row>
    <row r="35" ht="21.0" hidden="1" customHeight="1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50"/>
      <c r="AG35" s="51"/>
      <c r="AH35" s="52"/>
      <c r="AI35" s="52"/>
      <c r="AJ35" s="52"/>
      <c r="AK35" s="52"/>
      <c r="AL35" s="52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3"/>
      <c r="BL35" s="7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2"/>
      <c r="CJ35" s="52"/>
      <c r="CK35" s="52"/>
      <c r="CL35" s="52"/>
      <c r="CM35" s="52"/>
      <c r="CN35" s="52"/>
      <c r="CO35" s="52"/>
      <c r="CP35" s="51"/>
      <c r="CQ35" s="51"/>
      <c r="CR35" s="51"/>
      <c r="CS35" s="51"/>
      <c r="CT35" s="51"/>
    </row>
    <row r="36" ht="21.0" customHeight="1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50"/>
      <c r="AG36" s="51"/>
      <c r="AH36" s="52"/>
      <c r="AI36" s="52"/>
      <c r="AJ36" s="52"/>
      <c r="AK36" s="52"/>
      <c r="AL36" s="52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2"/>
      <c r="CJ36" s="52"/>
      <c r="CK36" s="52"/>
      <c r="CL36" s="52"/>
      <c r="CM36" s="52"/>
      <c r="CN36" s="52"/>
      <c r="CO36" s="52"/>
      <c r="CP36" s="51"/>
      <c r="CQ36" s="51"/>
      <c r="CR36" s="51"/>
      <c r="CS36" s="51"/>
      <c r="CT36" s="51"/>
    </row>
    <row r="37" ht="21.0" customHeight="1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50"/>
      <c r="AG37" s="51"/>
      <c r="AH37" s="52"/>
      <c r="AI37" s="52"/>
      <c r="AJ37" s="52"/>
      <c r="AK37" s="52"/>
      <c r="AL37" s="52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2"/>
      <c r="CJ37" s="52"/>
      <c r="CK37" s="52"/>
      <c r="CL37" s="52"/>
      <c r="CM37" s="52"/>
      <c r="CN37" s="52"/>
      <c r="CO37" s="52"/>
      <c r="CP37" s="51"/>
      <c r="CQ37" s="51"/>
      <c r="CR37" s="51"/>
      <c r="CS37" s="51"/>
      <c r="CT37" s="51"/>
    </row>
    <row r="38" ht="21.0" customHeight="1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50"/>
      <c r="AG38" s="51"/>
      <c r="AH38" s="52"/>
      <c r="AI38" s="52"/>
      <c r="AJ38" s="52"/>
      <c r="AK38" s="52"/>
      <c r="AL38" s="52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2"/>
      <c r="CJ38" s="52"/>
      <c r="CK38" s="52"/>
      <c r="CL38" s="52"/>
      <c r="CM38" s="52"/>
      <c r="CN38" s="52"/>
      <c r="CO38" s="52"/>
      <c r="CP38" s="51"/>
      <c r="CQ38" s="51"/>
      <c r="CR38" s="51"/>
      <c r="CS38" s="51"/>
      <c r="CT38" s="51"/>
    </row>
    <row r="39" ht="21.0" customHeight="1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50"/>
      <c r="AG39" s="51"/>
      <c r="AH39" s="52"/>
      <c r="AI39" s="52"/>
      <c r="AJ39" s="52"/>
      <c r="AK39" s="52"/>
      <c r="AL39" s="52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2"/>
      <c r="CJ39" s="52"/>
      <c r="CK39" s="52"/>
      <c r="CL39" s="52"/>
      <c r="CM39" s="52"/>
      <c r="CN39" s="52"/>
      <c r="CO39" s="52"/>
      <c r="CP39" s="51"/>
      <c r="CQ39" s="51"/>
      <c r="CR39" s="51"/>
      <c r="CS39" s="51"/>
      <c r="CT39" s="51"/>
    </row>
    <row r="40" ht="21.0" customHeight="1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50"/>
      <c r="AG40" s="51"/>
      <c r="AH40" s="52"/>
      <c r="AI40" s="52"/>
      <c r="AJ40" s="52"/>
      <c r="AK40" s="52"/>
      <c r="AL40" s="52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2"/>
      <c r="CJ40" s="52"/>
      <c r="CK40" s="52"/>
      <c r="CL40" s="52"/>
      <c r="CM40" s="52"/>
      <c r="CN40" s="52"/>
      <c r="CO40" s="52"/>
      <c r="CP40" s="51"/>
      <c r="CQ40" s="51"/>
      <c r="CR40" s="51"/>
      <c r="CS40" s="51"/>
      <c r="CT40" s="51"/>
    </row>
    <row r="41" ht="21.0" customHeight="1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50"/>
      <c r="AG41" s="51"/>
      <c r="AH41" s="52"/>
      <c r="AI41" s="52"/>
      <c r="AJ41" s="52"/>
      <c r="AK41" s="52"/>
      <c r="AL41" s="52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2"/>
      <c r="CJ41" s="52"/>
      <c r="CK41" s="52"/>
      <c r="CL41" s="52"/>
      <c r="CM41" s="52"/>
      <c r="CN41" s="52"/>
      <c r="CO41" s="52"/>
      <c r="CP41" s="51"/>
      <c r="CQ41" s="51"/>
      <c r="CR41" s="51"/>
      <c r="CS41" s="51"/>
      <c r="CT41" s="51"/>
    </row>
    <row r="42" ht="21.0" customHeight="1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50"/>
      <c r="AG42" s="51"/>
      <c r="AH42" s="52"/>
      <c r="AI42" s="52"/>
      <c r="AJ42" s="52"/>
      <c r="AK42" s="52"/>
      <c r="AL42" s="52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2"/>
      <c r="CJ42" s="52"/>
      <c r="CK42" s="52"/>
      <c r="CL42" s="52"/>
      <c r="CM42" s="52"/>
      <c r="CN42" s="52"/>
      <c r="CO42" s="52"/>
      <c r="CP42" s="51"/>
      <c r="CQ42" s="51"/>
      <c r="CR42" s="51"/>
      <c r="CS42" s="51"/>
      <c r="CT42" s="51"/>
    </row>
    <row r="43" ht="21.0" customHeight="1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50"/>
      <c r="AG43" s="51"/>
      <c r="AH43" s="52"/>
      <c r="AI43" s="52"/>
      <c r="AJ43" s="52"/>
      <c r="AK43" s="52"/>
      <c r="AL43" s="52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2"/>
      <c r="CJ43" s="52"/>
      <c r="CK43" s="52"/>
      <c r="CL43" s="52"/>
      <c r="CM43" s="52"/>
      <c r="CN43" s="52"/>
      <c r="CO43" s="52"/>
      <c r="CP43" s="51"/>
      <c r="CQ43" s="51"/>
      <c r="CR43" s="51"/>
      <c r="CS43" s="51"/>
      <c r="CT43" s="51"/>
    </row>
    <row r="44" ht="21.0" customHeight="1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50"/>
      <c r="AG44" s="51"/>
      <c r="AH44" s="52"/>
      <c r="AI44" s="52"/>
      <c r="AJ44" s="52"/>
      <c r="AK44" s="52"/>
      <c r="AL44" s="52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2"/>
      <c r="CJ44" s="52"/>
      <c r="CK44" s="52"/>
      <c r="CL44" s="52"/>
      <c r="CM44" s="52"/>
      <c r="CN44" s="52"/>
      <c r="CO44" s="52"/>
      <c r="CP44" s="51"/>
      <c r="CQ44" s="51"/>
      <c r="CR44" s="51"/>
      <c r="CS44" s="51"/>
      <c r="CT44" s="51"/>
    </row>
    <row r="45" ht="21.0" customHeight="1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50"/>
      <c r="AG45" s="51"/>
      <c r="AH45" s="52"/>
      <c r="AI45" s="52"/>
      <c r="AJ45" s="52"/>
      <c r="AK45" s="52"/>
      <c r="AL45" s="52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2"/>
      <c r="CJ45" s="52"/>
      <c r="CK45" s="52"/>
      <c r="CL45" s="52"/>
      <c r="CM45" s="52"/>
      <c r="CN45" s="52"/>
      <c r="CO45" s="52"/>
      <c r="CP45" s="51"/>
      <c r="CQ45" s="51"/>
      <c r="CR45" s="51"/>
      <c r="CS45" s="51"/>
      <c r="CT45" s="51"/>
    </row>
    <row r="46" ht="21.0" customHeight="1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50"/>
      <c r="AG46" s="51"/>
      <c r="AH46" s="52"/>
      <c r="AI46" s="52"/>
      <c r="AJ46" s="52"/>
      <c r="AK46" s="52"/>
      <c r="AL46" s="52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2"/>
      <c r="CJ46" s="52"/>
      <c r="CK46" s="52"/>
      <c r="CL46" s="52"/>
      <c r="CM46" s="52"/>
      <c r="CN46" s="52"/>
      <c r="CO46" s="52"/>
      <c r="CP46" s="51"/>
      <c r="CQ46" s="51"/>
      <c r="CR46" s="51"/>
      <c r="CS46" s="51"/>
      <c r="CT46" s="51"/>
    </row>
    <row r="47" ht="21.0" customHeight="1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50"/>
      <c r="AG47" s="51"/>
      <c r="AH47" s="52"/>
      <c r="AI47" s="52"/>
      <c r="AJ47" s="52"/>
      <c r="AK47" s="52"/>
      <c r="AL47" s="52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2"/>
      <c r="CJ47" s="52"/>
      <c r="CK47" s="52"/>
      <c r="CL47" s="52"/>
      <c r="CM47" s="52"/>
      <c r="CN47" s="52"/>
      <c r="CO47" s="52"/>
      <c r="CP47" s="51"/>
      <c r="CQ47" s="51"/>
      <c r="CR47" s="51"/>
      <c r="CS47" s="51"/>
      <c r="CT47" s="51"/>
    </row>
    <row r="48" ht="21.0" customHeight="1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50"/>
      <c r="AG48" s="51"/>
      <c r="AH48" s="52"/>
      <c r="AI48" s="52"/>
      <c r="AJ48" s="52"/>
      <c r="AK48" s="52"/>
      <c r="AL48" s="52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2"/>
      <c r="CJ48" s="52"/>
      <c r="CK48" s="52"/>
      <c r="CL48" s="52"/>
      <c r="CM48" s="52"/>
      <c r="CN48" s="52"/>
      <c r="CO48" s="52"/>
      <c r="CP48" s="51"/>
      <c r="CQ48" s="51"/>
      <c r="CR48" s="51"/>
      <c r="CS48" s="51"/>
      <c r="CT48" s="51"/>
    </row>
    <row r="49" ht="21.0" customHeight="1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50"/>
      <c r="AG49" s="51"/>
      <c r="AH49" s="52"/>
      <c r="AI49" s="52"/>
      <c r="AJ49" s="52"/>
      <c r="AK49" s="52"/>
      <c r="AL49" s="52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2"/>
      <c r="CJ49" s="52"/>
      <c r="CK49" s="52"/>
      <c r="CL49" s="52"/>
      <c r="CM49" s="52"/>
      <c r="CN49" s="52"/>
      <c r="CO49" s="52"/>
      <c r="CP49" s="51"/>
      <c r="CQ49" s="51"/>
      <c r="CR49" s="51"/>
      <c r="CS49" s="51"/>
      <c r="CT49" s="51"/>
    </row>
    <row r="50" ht="21.0" customHeight="1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50"/>
      <c r="AG50" s="51"/>
      <c r="AH50" s="52"/>
      <c r="AI50" s="52"/>
      <c r="AJ50" s="52"/>
      <c r="AK50" s="52"/>
      <c r="AL50" s="52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2"/>
      <c r="CJ50" s="52"/>
      <c r="CK50" s="52"/>
      <c r="CL50" s="52"/>
      <c r="CM50" s="52"/>
      <c r="CN50" s="52"/>
      <c r="CO50" s="52"/>
      <c r="CP50" s="51"/>
      <c r="CQ50" s="51"/>
      <c r="CR50" s="51"/>
      <c r="CS50" s="51"/>
      <c r="CT50" s="51"/>
    </row>
    <row r="51" ht="21.0" customHeight="1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50"/>
      <c r="AG51" s="51"/>
      <c r="AH51" s="52"/>
      <c r="AI51" s="52"/>
      <c r="AJ51" s="52"/>
      <c r="AK51" s="52"/>
      <c r="AL51" s="52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2"/>
      <c r="CJ51" s="52"/>
      <c r="CK51" s="52"/>
      <c r="CL51" s="52"/>
      <c r="CM51" s="52"/>
      <c r="CN51" s="52"/>
      <c r="CO51" s="52"/>
      <c r="CP51" s="51"/>
      <c r="CQ51" s="51"/>
      <c r="CR51" s="51"/>
      <c r="CS51" s="51"/>
      <c r="CT51" s="51"/>
    </row>
    <row r="52" ht="21.0" customHeight="1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50"/>
      <c r="AG52" s="51"/>
      <c r="AH52" s="52"/>
      <c r="AI52" s="52"/>
      <c r="AJ52" s="52"/>
      <c r="AK52" s="52"/>
      <c r="AL52" s="52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2"/>
      <c r="CJ52" s="52"/>
      <c r="CK52" s="52"/>
      <c r="CL52" s="52"/>
      <c r="CM52" s="52"/>
      <c r="CN52" s="52"/>
      <c r="CO52" s="52"/>
      <c r="CP52" s="51"/>
      <c r="CQ52" s="51"/>
      <c r="CR52" s="51"/>
      <c r="CS52" s="51"/>
      <c r="CT52" s="51"/>
    </row>
    <row r="53" ht="21.0" customHeight="1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50"/>
      <c r="AG53" s="51"/>
      <c r="AH53" s="52"/>
      <c r="AI53" s="52"/>
      <c r="AJ53" s="52"/>
      <c r="AK53" s="52"/>
      <c r="AL53" s="52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2"/>
      <c r="CJ53" s="52"/>
      <c r="CK53" s="52"/>
      <c r="CL53" s="52"/>
      <c r="CM53" s="52"/>
      <c r="CN53" s="52"/>
      <c r="CO53" s="52"/>
      <c r="CP53" s="51"/>
      <c r="CQ53" s="51"/>
      <c r="CR53" s="51"/>
      <c r="CS53" s="51"/>
      <c r="CT53" s="51"/>
    </row>
    <row r="54" ht="21.0" customHeight="1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50"/>
      <c r="AG54" s="51"/>
      <c r="AH54" s="52"/>
      <c r="AI54" s="52"/>
      <c r="AJ54" s="52"/>
      <c r="AK54" s="52"/>
      <c r="AL54" s="52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2"/>
      <c r="CJ54" s="52"/>
      <c r="CK54" s="52"/>
      <c r="CL54" s="52"/>
      <c r="CM54" s="52"/>
      <c r="CN54" s="52"/>
      <c r="CO54" s="52"/>
      <c r="CP54" s="51"/>
      <c r="CQ54" s="51"/>
      <c r="CR54" s="51"/>
      <c r="CS54" s="51"/>
      <c r="CT54" s="51"/>
    </row>
    <row r="55" ht="21.0" customHeight="1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50"/>
      <c r="AG55" s="51"/>
      <c r="AH55" s="52"/>
      <c r="AI55" s="52"/>
      <c r="AJ55" s="52"/>
      <c r="AK55" s="52"/>
      <c r="AL55" s="52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2"/>
      <c r="CJ55" s="52"/>
      <c r="CK55" s="52"/>
      <c r="CL55" s="52"/>
      <c r="CM55" s="52"/>
      <c r="CN55" s="52"/>
      <c r="CO55" s="52"/>
      <c r="CP55" s="51"/>
      <c r="CQ55" s="51"/>
      <c r="CR55" s="51"/>
      <c r="CS55" s="51"/>
      <c r="CT55" s="51"/>
    </row>
    <row r="56" ht="21.0" customHeight="1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50"/>
      <c r="AG56" s="51"/>
      <c r="AH56" s="52"/>
      <c r="AI56" s="52"/>
      <c r="AJ56" s="52"/>
      <c r="AK56" s="52"/>
      <c r="AL56" s="52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2"/>
      <c r="CJ56" s="52"/>
      <c r="CK56" s="52"/>
      <c r="CL56" s="52"/>
      <c r="CM56" s="52"/>
      <c r="CN56" s="52"/>
      <c r="CO56" s="52"/>
      <c r="CP56" s="51"/>
      <c r="CQ56" s="51"/>
      <c r="CR56" s="51"/>
      <c r="CS56" s="51"/>
      <c r="CT56" s="51"/>
    </row>
    <row r="57" ht="21.0" customHeight="1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50"/>
      <c r="AG57" s="51"/>
      <c r="AH57" s="52"/>
      <c r="AI57" s="52"/>
      <c r="AJ57" s="52"/>
      <c r="AK57" s="52"/>
      <c r="AL57" s="52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2"/>
      <c r="CJ57" s="52"/>
      <c r="CK57" s="52"/>
      <c r="CL57" s="52"/>
      <c r="CM57" s="52"/>
      <c r="CN57" s="52"/>
      <c r="CO57" s="52"/>
      <c r="CP57" s="51"/>
      <c r="CQ57" s="51"/>
      <c r="CR57" s="51"/>
      <c r="CS57" s="51"/>
      <c r="CT57" s="51"/>
    </row>
    <row r="58" ht="21.0" customHeight="1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50"/>
      <c r="AG58" s="51"/>
      <c r="AH58" s="52"/>
      <c r="AI58" s="52"/>
      <c r="AJ58" s="52"/>
      <c r="AK58" s="52"/>
      <c r="AL58" s="52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2"/>
      <c r="CJ58" s="52"/>
      <c r="CK58" s="52"/>
      <c r="CL58" s="52"/>
      <c r="CM58" s="52"/>
      <c r="CN58" s="52"/>
      <c r="CO58" s="52"/>
      <c r="CP58" s="51"/>
      <c r="CQ58" s="51"/>
      <c r="CR58" s="51"/>
      <c r="CS58" s="51"/>
      <c r="CT58" s="51"/>
    </row>
    <row r="59" ht="21.0" customHeight="1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50"/>
      <c r="AG59" s="51"/>
      <c r="AH59" s="52"/>
      <c r="AI59" s="52"/>
      <c r="AJ59" s="52"/>
      <c r="AK59" s="52"/>
      <c r="AL59" s="52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2"/>
      <c r="CJ59" s="52"/>
      <c r="CK59" s="52"/>
      <c r="CL59" s="52"/>
      <c r="CM59" s="52"/>
      <c r="CN59" s="52"/>
      <c r="CO59" s="52"/>
      <c r="CP59" s="51"/>
      <c r="CQ59" s="51"/>
      <c r="CR59" s="51"/>
      <c r="CS59" s="51"/>
      <c r="CT59" s="51"/>
    </row>
    <row r="60" ht="21.0" customHeight="1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50"/>
      <c r="AG60" s="51"/>
      <c r="AH60" s="52"/>
      <c r="AI60" s="52"/>
      <c r="AJ60" s="52"/>
      <c r="AK60" s="52"/>
      <c r="AL60" s="52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2"/>
      <c r="CJ60" s="52"/>
      <c r="CK60" s="52"/>
      <c r="CL60" s="52"/>
      <c r="CM60" s="52"/>
      <c r="CN60" s="52"/>
      <c r="CO60" s="52"/>
      <c r="CP60" s="51"/>
      <c r="CQ60" s="51"/>
      <c r="CR60" s="51"/>
      <c r="CS60" s="51"/>
      <c r="CT60" s="51"/>
    </row>
    <row r="61" ht="21.0" customHeight="1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50"/>
      <c r="AG61" s="51"/>
      <c r="AH61" s="52"/>
      <c r="AI61" s="52"/>
      <c r="AJ61" s="52"/>
      <c r="AK61" s="52"/>
      <c r="AL61" s="52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2"/>
      <c r="CJ61" s="52"/>
      <c r="CK61" s="52"/>
      <c r="CL61" s="52"/>
      <c r="CM61" s="52"/>
      <c r="CN61" s="52"/>
      <c r="CO61" s="52"/>
      <c r="CP61" s="51"/>
      <c r="CQ61" s="51"/>
      <c r="CR61" s="51"/>
      <c r="CS61" s="51"/>
      <c r="CT61" s="51"/>
    </row>
    <row r="62" ht="21.0" customHeight="1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50"/>
      <c r="AG62" s="51"/>
      <c r="AH62" s="52"/>
      <c r="AI62" s="52"/>
      <c r="AJ62" s="52"/>
      <c r="AK62" s="52"/>
      <c r="AL62" s="52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2"/>
      <c r="CJ62" s="52"/>
      <c r="CK62" s="52"/>
      <c r="CL62" s="52"/>
      <c r="CM62" s="52"/>
      <c r="CN62" s="52"/>
      <c r="CO62" s="52"/>
      <c r="CP62" s="51"/>
      <c r="CQ62" s="51"/>
      <c r="CR62" s="51"/>
      <c r="CS62" s="51"/>
      <c r="CT62" s="51"/>
    </row>
    <row r="63" ht="21.0" customHeight="1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50"/>
      <c r="AG63" s="51"/>
      <c r="AH63" s="52"/>
      <c r="AI63" s="52"/>
      <c r="AJ63" s="52"/>
      <c r="AK63" s="52"/>
      <c r="AL63" s="52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2"/>
      <c r="CJ63" s="52"/>
      <c r="CK63" s="52"/>
      <c r="CL63" s="52"/>
      <c r="CM63" s="52"/>
      <c r="CN63" s="52"/>
      <c r="CO63" s="52"/>
      <c r="CP63" s="51"/>
      <c r="CQ63" s="51"/>
      <c r="CR63" s="51"/>
      <c r="CS63" s="51"/>
      <c r="CT63" s="51"/>
    </row>
    <row r="64" ht="21.0" customHeight="1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50"/>
      <c r="AG64" s="51"/>
      <c r="AH64" s="52"/>
      <c r="AI64" s="52"/>
      <c r="AJ64" s="52"/>
      <c r="AK64" s="52"/>
      <c r="AL64" s="52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2"/>
      <c r="CJ64" s="52"/>
      <c r="CK64" s="52"/>
      <c r="CL64" s="52"/>
      <c r="CM64" s="52"/>
      <c r="CN64" s="52"/>
      <c r="CO64" s="52"/>
      <c r="CP64" s="51"/>
      <c r="CQ64" s="51"/>
      <c r="CR64" s="51"/>
      <c r="CS64" s="51"/>
      <c r="CT64" s="51"/>
    </row>
    <row r="65" ht="21.0" customHeight="1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50"/>
      <c r="AG65" s="51"/>
      <c r="AH65" s="52"/>
      <c r="AI65" s="52"/>
      <c r="AJ65" s="52"/>
      <c r="AK65" s="52"/>
      <c r="AL65" s="52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2"/>
      <c r="CJ65" s="52"/>
      <c r="CK65" s="52"/>
      <c r="CL65" s="52"/>
      <c r="CM65" s="52"/>
      <c r="CN65" s="52"/>
      <c r="CO65" s="52"/>
      <c r="CP65" s="51"/>
      <c r="CQ65" s="51"/>
      <c r="CR65" s="51"/>
      <c r="CS65" s="51"/>
      <c r="CT65" s="51"/>
    </row>
    <row r="66" ht="21.0" customHeight="1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50"/>
      <c r="AG66" s="51"/>
      <c r="AH66" s="52"/>
      <c r="AI66" s="52"/>
      <c r="AJ66" s="52"/>
      <c r="AK66" s="52"/>
      <c r="AL66" s="52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2"/>
      <c r="CJ66" s="52"/>
      <c r="CK66" s="52"/>
      <c r="CL66" s="52"/>
      <c r="CM66" s="52"/>
      <c r="CN66" s="52"/>
      <c r="CO66" s="52"/>
      <c r="CP66" s="51"/>
      <c r="CQ66" s="51"/>
      <c r="CR66" s="51"/>
      <c r="CS66" s="51"/>
      <c r="CT66" s="51"/>
    </row>
    <row r="67" ht="21.0" customHeight="1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50"/>
      <c r="AG67" s="51"/>
      <c r="AH67" s="52"/>
      <c r="AI67" s="52"/>
      <c r="AJ67" s="52"/>
      <c r="AK67" s="52"/>
      <c r="AL67" s="52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2"/>
      <c r="CJ67" s="52"/>
      <c r="CK67" s="52"/>
      <c r="CL67" s="52"/>
      <c r="CM67" s="52"/>
      <c r="CN67" s="52"/>
      <c r="CO67" s="52"/>
      <c r="CP67" s="51"/>
      <c r="CQ67" s="51"/>
      <c r="CR67" s="51"/>
      <c r="CS67" s="51"/>
      <c r="CT67" s="51"/>
    </row>
    <row r="68" ht="21.0" customHeight="1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50"/>
      <c r="AG68" s="51"/>
      <c r="AH68" s="52"/>
      <c r="AI68" s="52"/>
      <c r="AJ68" s="52"/>
      <c r="AK68" s="52"/>
      <c r="AL68" s="52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2"/>
      <c r="CJ68" s="52"/>
      <c r="CK68" s="52"/>
      <c r="CL68" s="52"/>
      <c r="CM68" s="52"/>
      <c r="CN68" s="52"/>
      <c r="CO68" s="52"/>
      <c r="CP68" s="51"/>
      <c r="CQ68" s="51"/>
      <c r="CR68" s="51"/>
      <c r="CS68" s="51"/>
      <c r="CT68" s="51"/>
    </row>
    <row r="69" ht="21.0" customHeight="1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50"/>
      <c r="AG69" s="51"/>
      <c r="AH69" s="52"/>
      <c r="AI69" s="52"/>
      <c r="AJ69" s="52"/>
      <c r="AK69" s="52"/>
      <c r="AL69" s="52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2"/>
      <c r="CJ69" s="52"/>
      <c r="CK69" s="52"/>
      <c r="CL69" s="52"/>
      <c r="CM69" s="52"/>
      <c r="CN69" s="52"/>
      <c r="CO69" s="52"/>
      <c r="CP69" s="51"/>
      <c r="CQ69" s="51"/>
      <c r="CR69" s="51"/>
      <c r="CS69" s="51"/>
      <c r="CT69" s="51"/>
    </row>
    <row r="70" ht="21.0" customHeight="1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50"/>
      <c r="AG70" s="51"/>
      <c r="AH70" s="52"/>
      <c r="AI70" s="52"/>
      <c r="AJ70" s="52"/>
      <c r="AK70" s="52"/>
      <c r="AL70" s="52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2"/>
      <c r="CJ70" s="52"/>
      <c r="CK70" s="52"/>
      <c r="CL70" s="52"/>
      <c r="CM70" s="52"/>
      <c r="CN70" s="52"/>
      <c r="CO70" s="52"/>
      <c r="CP70" s="51"/>
      <c r="CQ70" s="51"/>
      <c r="CR70" s="51"/>
      <c r="CS70" s="51"/>
      <c r="CT70" s="51"/>
    </row>
    <row r="71" ht="21.0" customHeight="1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50"/>
      <c r="AG71" s="51"/>
      <c r="AH71" s="52"/>
      <c r="AI71" s="52"/>
      <c r="AJ71" s="52"/>
      <c r="AK71" s="52"/>
      <c r="AL71" s="52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2"/>
      <c r="CJ71" s="52"/>
      <c r="CK71" s="52"/>
      <c r="CL71" s="52"/>
      <c r="CM71" s="52"/>
      <c r="CN71" s="52"/>
      <c r="CO71" s="52"/>
      <c r="CP71" s="51"/>
      <c r="CQ71" s="51"/>
      <c r="CR71" s="51"/>
      <c r="CS71" s="51"/>
      <c r="CT71" s="51"/>
    </row>
    <row r="72" ht="21.0" customHeight="1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50"/>
      <c r="AG72" s="51"/>
      <c r="AH72" s="52"/>
      <c r="AI72" s="52"/>
      <c r="AJ72" s="52"/>
      <c r="AK72" s="52"/>
      <c r="AL72" s="52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2"/>
      <c r="CJ72" s="52"/>
      <c r="CK72" s="52"/>
      <c r="CL72" s="52"/>
      <c r="CM72" s="52"/>
      <c r="CN72" s="52"/>
      <c r="CO72" s="52"/>
      <c r="CP72" s="51"/>
      <c r="CQ72" s="51"/>
      <c r="CR72" s="51"/>
      <c r="CS72" s="51"/>
      <c r="CT72" s="51"/>
    </row>
    <row r="73" ht="21.0" customHeight="1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50"/>
      <c r="AG73" s="51"/>
      <c r="AH73" s="52"/>
      <c r="AI73" s="52"/>
      <c r="AJ73" s="52"/>
      <c r="AK73" s="52"/>
      <c r="AL73" s="52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2"/>
      <c r="CJ73" s="52"/>
      <c r="CK73" s="52"/>
      <c r="CL73" s="52"/>
      <c r="CM73" s="52"/>
      <c r="CN73" s="52"/>
      <c r="CO73" s="52"/>
      <c r="CP73" s="51"/>
      <c r="CQ73" s="51"/>
      <c r="CR73" s="51"/>
      <c r="CS73" s="51"/>
      <c r="CT73" s="51"/>
    </row>
    <row r="74" ht="21.0" customHeight="1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50"/>
      <c r="AG74" s="51"/>
      <c r="AH74" s="52"/>
      <c r="AI74" s="52"/>
      <c r="AJ74" s="52"/>
      <c r="AK74" s="52"/>
      <c r="AL74" s="52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2"/>
      <c r="CJ74" s="52"/>
      <c r="CK74" s="52"/>
      <c r="CL74" s="52"/>
      <c r="CM74" s="52"/>
      <c r="CN74" s="52"/>
      <c r="CO74" s="52"/>
      <c r="CP74" s="51"/>
      <c r="CQ74" s="51"/>
      <c r="CR74" s="51"/>
      <c r="CS74" s="51"/>
      <c r="CT74" s="51"/>
    </row>
    <row r="75" ht="21.0" customHeight="1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50"/>
      <c r="AG75" s="51"/>
      <c r="AH75" s="52"/>
      <c r="AI75" s="52"/>
      <c r="AJ75" s="52"/>
      <c r="AK75" s="52"/>
      <c r="AL75" s="52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2"/>
      <c r="CJ75" s="52"/>
      <c r="CK75" s="52"/>
      <c r="CL75" s="52"/>
      <c r="CM75" s="52"/>
      <c r="CN75" s="52"/>
      <c r="CO75" s="52"/>
      <c r="CP75" s="51"/>
      <c r="CQ75" s="51"/>
      <c r="CR75" s="51"/>
      <c r="CS75" s="51"/>
      <c r="CT75" s="51"/>
    </row>
    <row r="76" ht="21.0" customHeight="1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50"/>
      <c r="AG76" s="51"/>
      <c r="AH76" s="52"/>
      <c r="AI76" s="52"/>
      <c r="AJ76" s="52"/>
      <c r="AK76" s="52"/>
      <c r="AL76" s="52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2"/>
      <c r="CJ76" s="52"/>
      <c r="CK76" s="52"/>
      <c r="CL76" s="52"/>
      <c r="CM76" s="52"/>
      <c r="CN76" s="52"/>
      <c r="CO76" s="52"/>
      <c r="CP76" s="51"/>
      <c r="CQ76" s="51"/>
      <c r="CR76" s="51"/>
      <c r="CS76" s="51"/>
      <c r="CT76" s="51"/>
    </row>
    <row r="77" ht="21.0" customHeight="1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50"/>
      <c r="AG77" s="51"/>
      <c r="AH77" s="52"/>
      <c r="AI77" s="52"/>
      <c r="AJ77" s="52"/>
      <c r="AK77" s="52"/>
      <c r="AL77" s="52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2"/>
      <c r="CJ77" s="52"/>
      <c r="CK77" s="52"/>
      <c r="CL77" s="52"/>
      <c r="CM77" s="52"/>
      <c r="CN77" s="52"/>
      <c r="CO77" s="52"/>
      <c r="CP77" s="51"/>
      <c r="CQ77" s="51"/>
      <c r="CR77" s="51"/>
      <c r="CS77" s="51"/>
      <c r="CT77" s="51"/>
    </row>
    <row r="78" ht="21.0" customHeight="1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50"/>
      <c r="AG78" s="51"/>
      <c r="AH78" s="52"/>
      <c r="AI78" s="52"/>
      <c r="AJ78" s="52"/>
      <c r="AK78" s="52"/>
      <c r="AL78" s="52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2"/>
      <c r="CJ78" s="52"/>
      <c r="CK78" s="52"/>
      <c r="CL78" s="52"/>
      <c r="CM78" s="52"/>
      <c r="CN78" s="52"/>
      <c r="CO78" s="52"/>
      <c r="CP78" s="51"/>
      <c r="CQ78" s="51"/>
      <c r="CR78" s="51"/>
      <c r="CS78" s="51"/>
      <c r="CT78" s="51"/>
    </row>
    <row r="79" ht="21.0" customHeight="1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50"/>
      <c r="AG79" s="51"/>
      <c r="AH79" s="52"/>
      <c r="AI79" s="52"/>
      <c r="AJ79" s="52"/>
      <c r="AK79" s="52"/>
      <c r="AL79" s="52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2"/>
      <c r="CJ79" s="52"/>
      <c r="CK79" s="52"/>
      <c r="CL79" s="52"/>
      <c r="CM79" s="52"/>
      <c r="CN79" s="52"/>
      <c r="CO79" s="52"/>
      <c r="CP79" s="51"/>
      <c r="CQ79" s="51"/>
      <c r="CR79" s="51"/>
      <c r="CS79" s="51"/>
      <c r="CT79" s="51"/>
    </row>
    <row r="80" ht="21.0" customHeight="1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50"/>
      <c r="AG80" s="51"/>
      <c r="AH80" s="52"/>
      <c r="AI80" s="52"/>
      <c r="AJ80" s="52"/>
      <c r="AK80" s="52"/>
      <c r="AL80" s="52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J80" s="54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2"/>
      <c r="CJ80" s="52"/>
      <c r="CK80" s="52"/>
      <c r="CL80" s="52"/>
      <c r="CM80" s="52"/>
      <c r="CN80" s="52"/>
      <c r="CO80" s="52"/>
      <c r="CP80" s="51"/>
      <c r="CQ80" s="51"/>
      <c r="CR80" s="51"/>
      <c r="CS80" s="51"/>
      <c r="CT80" s="51"/>
    </row>
    <row r="81" ht="21.0" customHeight="1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50"/>
      <c r="AG81" s="51"/>
      <c r="AH81" s="52"/>
      <c r="AI81" s="52"/>
      <c r="AJ81" s="52"/>
      <c r="AK81" s="52"/>
      <c r="AL81" s="52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J81" s="54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2"/>
      <c r="CJ81" s="52"/>
      <c r="CK81" s="52"/>
      <c r="CL81" s="52"/>
      <c r="CM81" s="52"/>
      <c r="CN81" s="52"/>
      <c r="CO81" s="52"/>
      <c r="CP81" s="51"/>
      <c r="CQ81" s="51"/>
      <c r="CR81" s="51"/>
      <c r="CS81" s="51"/>
      <c r="CT81" s="51"/>
    </row>
    <row r="82" ht="21.0" customHeight="1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50"/>
      <c r="AG82" s="51"/>
      <c r="AH82" s="52"/>
      <c r="AI82" s="52"/>
      <c r="AJ82" s="52"/>
      <c r="AK82" s="52"/>
      <c r="AL82" s="52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J82" s="54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2"/>
      <c r="CJ82" s="52"/>
      <c r="CK82" s="52"/>
      <c r="CL82" s="52"/>
      <c r="CM82" s="52"/>
      <c r="CN82" s="52"/>
      <c r="CO82" s="52"/>
      <c r="CP82" s="51"/>
      <c r="CQ82" s="51"/>
      <c r="CR82" s="51"/>
      <c r="CS82" s="51"/>
      <c r="CT82" s="51"/>
    </row>
    <row r="83" ht="21.0" customHeight="1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50"/>
      <c r="AG83" s="51"/>
      <c r="AH83" s="52"/>
      <c r="AI83" s="52"/>
      <c r="AJ83" s="52"/>
      <c r="AK83" s="52"/>
      <c r="AL83" s="52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2"/>
      <c r="CJ83" s="52"/>
      <c r="CK83" s="52"/>
      <c r="CL83" s="52"/>
      <c r="CM83" s="52"/>
      <c r="CN83" s="52"/>
      <c r="CO83" s="52"/>
      <c r="CP83" s="51"/>
      <c r="CQ83" s="51"/>
      <c r="CR83" s="51"/>
      <c r="CS83" s="51"/>
      <c r="CT83" s="51"/>
    </row>
    <row r="84" ht="21.0" customHeight="1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50"/>
      <c r="AG84" s="51"/>
      <c r="AH84" s="52"/>
      <c r="AI84" s="52"/>
      <c r="AJ84" s="52"/>
      <c r="AK84" s="52"/>
      <c r="AL84" s="52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2"/>
      <c r="CJ84" s="52"/>
      <c r="CK84" s="52"/>
      <c r="CL84" s="52"/>
      <c r="CM84" s="52"/>
      <c r="CN84" s="52"/>
      <c r="CO84" s="52"/>
      <c r="CP84" s="51"/>
      <c r="CQ84" s="51"/>
      <c r="CR84" s="51"/>
      <c r="CS84" s="51"/>
      <c r="CT84" s="51"/>
    </row>
    <row r="85" ht="21.0" customHeight="1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50"/>
      <c r="AG85" s="51"/>
      <c r="AH85" s="52"/>
      <c r="AI85" s="52"/>
      <c r="AJ85" s="52"/>
      <c r="AK85" s="52"/>
      <c r="AL85" s="52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2"/>
      <c r="CJ85" s="52"/>
      <c r="CK85" s="52"/>
      <c r="CL85" s="52"/>
      <c r="CM85" s="52"/>
      <c r="CN85" s="52"/>
      <c r="CO85" s="52"/>
      <c r="CP85" s="51"/>
      <c r="CQ85" s="51"/>
      <c r="CR85" s="51"/>
      <c r="CS85" s="51"/>
      <c r="CT85" s="51"/>
    </row>
    <row r="86" ht="21.0" customHeight="1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50"/>
      <c r="AG86" s="51"/>
      <c r="AH86" s="52"/>
      <c r="AI86" s="52"/>
      <c r="AJ86" s="52"/>
      <c r="AK86" s="52"/>
      <c r="AL86" s="52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2"/>
      <c r="CJ86" s="52"/>
      <c r="CK86" s="52"/>
      <c r="CL86" s="52"/>
      <c r="CM86" s="52"/>
      <c r="CN86" s="52"/>
      <c r="CO86" s="52"/>
      <c r="CP86" s="51"/>
      <c r="CQ86" s="51"/>
      <c r="CR86" s="51"/>
      <c r="CS86" s="51"/>
      <c r="CT86" s="51"/>
    </row>
    <row r="87" ht="21.0" customHeight="1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50"/>
      <c r="AG87" s="51"/>
      <c r="AH87" s="52"/>
      <c r="AI87" s="52"/>
      <c r="AJ87" s="52"/>
      <c r="AK87" s="52"/>
      <c r="AL87" s="52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2"/>
      <c r="CJ87" s="52"/>
      <c r="CK87" s="52"/>
      <c r="CL87" s="52"/>
      <c r="CM87" s="52"/>
      <c r="CN87" s="52"/>
      <c r="CO87" s="52"/>
      <c r="CP87" s="51"/>
      <c r="CQ87" s="51"/>
      <c r="CR87" s="51"/>
      <c r="CS87" s="51"/>
      <c r="CT87" s="51"/>
    </row>
    <row r="88" ht="21.0" customHeight="1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50"/>
      <c r="AG88" s="51"/>
      <c r="AH88" s="52"/>
      <c r="AI88" s="52"/>
      <c r="AJ88" s="52"/>
      <c r="AK88" s="52"/>
      <c r="AL88" s="52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2"/>
      <c r="CJ88" s="52"/>
      <c r="CK88" s="52"/>
      <c r="CL88" s="52"/>
      <c r="CM88" s="52"/>
      <c r="CN88" s="52"/>
      <c r="CO88" s="52"/>
      <c r="CP88" s="51"/>
      <c r="CQ88" s="51"/>
      <c r="CR88" s="51"/>
      <c r="CS88" s="51"/>
      <c r="CT88" s="51"/>
    </row>
    <row r="89" ht="21.0" customHeight="1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50"/>
      <c r="AG89" s="51"/>
      <c r="AH89" s="52"/>
      <c r="AI89" s="52"/>
      <c r="AJ89" s="52"/>
      <c r="AK89" s="52"/>
      <c r="AL89" s="52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2"/>
      <c r="CJ89" s="52"/>
      <c r="CK89" s="52"/>
      <c r="CL89" s="52"/>
      <c r="CM89" s="52"/>
      <c r="CN89" s="52"/>
      <c r="CO89" s="52"/>
      <c r="CP89" s="51"/>
      <c r="CQ89" s="51"/>
      <c r="CR89" s="51"/>
      <c r="CS89" s="51"/>
      <c r="CT89" s="51"/>
    </row>
    <row r="90" ht="21.0" customHeight="1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50"/>
      <c r="AG90" s="51"/>
      <c r="AH90" s="52"/>
      <c r="AI90" s="52"/>
      <c r="AJ90" s="52"/>
      <c r="AK90" s="52"/>
      <c r="AL90" s="52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2"/>
      <c r="CJ90" s="52"/>
      <c r="CK90" s="52"/>
      <c r="CL90" s="52"/>
      <c r="CM90" s="52"/>
      <c r="CN90" s="52"/>
      <c r="CO90" s="52"/>
      <c r="CP90" s="51"/>
      <c r="CQ90" s="51"/>
      <c r="CR90" s="51"/>
      <c r="CS90" s="51"/>
      <c r="CT90" s="51"/>
    </row>
    <row r="91" ht="21.0" customHeight="1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50"/>
      <c r="AG91" s="51"/>
      <c r="AH91" s="52"/>
      <c r="AI91" s="52"/>
      <c r="AJ91" s="52"/>
      <c r="AK91" s="52"/>
      <c r="AL91" s="52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2"/>
      <c r="CJ91" s="52"/>
      <c r="CK91" s="52"/>
      <c r="CL91" s="52"/>
      <c r="CM91" s="52"/>
      <c r="CN91" s="52"/>
      <c r="CO91" s="52"/>
      <c r="CP91" s="51"/>
      <c r="CQ91" s="51"/>
      <c r="CR91" s="51"/>
      <c r="CS91" s="51"/>
      <c r="CT91" s="51"/>
    </row>
    <row r="92" ht="21.0" customHeight="1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50"/>
      <c r="AG92" s="51"/>
      <c r="AH92" s="52"/>
      <c r="AI92" s="52"/>
      <c r="AJ92" s="52"/>
      <c r="AK92" s="52"/>
      <c r="AL92" s="52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2"/>
      <c r="CJ92" s="52"/>
      <c r="CK92" s="52"/>
      <c r="CL92" s="52"/>
      <c r="CM92" s="52"/>
      <c r="CN92" s="52"/>
      <c r="CO92" s="52"/>
      <c r="CP92" s="51"/>
      <c r="CQ92" s="51"/>
      <c r="CR92" s="51"/>
      <c r="CS92" s="51"/>
      <c r="CT92" s="51"/>
    </row>
    <row r="93" ht="21.0" customHeight="1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50"/>
      <c r="AG93" s="51"/>
      <c r="AH93" s="52"/>
      <c r="AI93" s="52"/>
      <c r="AJ93" s="52"/>
      <c r="AK93" s="52"/>
      <c r="AL93" s="52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  <c r="BI93" s="54"/>
      <c r="BJ93" s="54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2"/>
      <c r="CJ93" s="52"/>
      <c r="CK93" s="52"/>
      <c r="CL93" s="52"/>
      <c r="CM93" s="52"/>
      <c r="CN93" s="52"/>
      <c r="CO93" s="52"/>
      <c r="CP93" s="51"/>
      <c r="CQ93" s="51"/>
      <c r="CR93" s="51"/>
      <c r="CS93" s="51"/>
      <c r="CT93" s="51"/>
    </row>
    <row r="94" ht="21.0" customHeight="1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50"/>
      <c r="AG94" s="51"/>
      <c r="AH94" s="52"/>
      <c r="AI94" s="52"/>
      <c r="AJ94" s="52"/>
      <c r="AK94" s="52"/>
      <c r="AL94" s="52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  <c r="BI94" s="54"/>
      <c r="BJ94" s="54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2"/>
      <c r="CJ94" s="52"/>
      <c r="CK94" s="52"/>
      <c r="CL94" s="52"/>
      <c r="CM94" s="52"/>
      <c r="CN94" s="52"/>
      <c r="CO94" s="52"/>
      <c r="CP94" s="51"/>
      <c r="CQ94" s="51"/>
      <c r="CR94" s="51"/>
      <c r="CS94" s="51"/>
      <c r="CT94" s="51"/>
    </row>
    <row r="95" ht="21.0" customHeight="1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50"/>
      <c r="AG95" s="51"/>
      <c r="AH95" s="52"/>
      <c r="AI95" s="52"/>
      <c r="AJ95" s="52"/>
      <c r="AK95" s="52"/>
      <c r="AL95" s="52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  <c r="BI95" s="54"/>
      <c r="BJ95" s="54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2"/>
      <c r="CJ95" s="52"/>
      <c r="CK95" s="52"/>
      <c r="CL95" s="52"/>
      <c r="CM95" s="52"/>
      <c r="CN95" s="52"/>
      <c r="CO95" s="52"/>
      <c r="CP95" s="51"/>
      <c r="CQ95" s="51"/>
      <c r="CR95" s="51"/>
      <c r="CS95" s="51"/>
      <c r="CT95" s="51"/>
    </row>
    <row r="96" ht="21.0" customHeight="1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50"/>
      <c r="AG96" s="51"/>
      <c r="AH96" s="52"/>
      <c r="AI96" s="52"/>
      <c r="AJ96" s="52"/>
      <c r="AK96" s="52"/>
      <c r="AL96" s="52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2"/>
      <c r="CJ96" s="52"/>
      <c r="CK96" s="52"/>
      <c r="CL96" s="52"/>
      <c r="CM96" s="52"/>
      <c r="CN96" s="52"/>
      <c r="CO96" s="52"/>
      <c r="CP96" s="51"/>
      <c r="CQ96" s="51"/>
      <c r="CR96" s="51"/>
      <c r="CS96" s="51"/>
      <c r="CT96" s="51"/>
    </row>
    <row r="97" ht="21.0" customHeight="1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50"/>
      <c r="AG97" s="51"/>
      <c r="AH97" s="52"/>
      <c r="AI97" s="52"/>
      <c r="AJ97" s="52"/>
      <c r="AK97" s="52"/>
      <c r="AL97" s="52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2"/>
      <c r="CJ97" s="52"/>
      <c r="CK97" s="52"/>
      <c r="CL97" s="52"/>
      <c r="CM97" s="52"/>
      <c r="CN97" s="52"/>
      <c r="CO97" s="52"/>
      <c r="CP97" s="51"/>
      <c r="CQ97" s="51"/>
      <c r="CR97" s="51"/>
      <c r="CS97" s="51"/>
      <c r="CT97" s="51"/>
    </row>
    <row r="98" ht="21.0" customHeight="1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50"/>
      <c r="AG98" s="51"/>
      <c r="AH98" s="52"/>
      <c r="AI98" s="52"/>
      <c r="AJ98" s="52"/>
      <c r="AK98" s="52"/>
      <c r="AL98" s="52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  <c r="BI98" s="54"/>
      <c r="BJ98" s="54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2"/>
      <c r="CJ98" s="52"/>
      <c r="CK98" s="52"/>
      <c r="CL98" s="52"/>
      <c r="CM98" s="52"/>
      <c r="CN98" s="52"/>
      <c r="CO98" s="52"/>
      <c r="CP98" s="51"/>
      <c r="CQ98" s="51"/>
      <c r="CR98" s="51"/>
      <c r="CS98" s="51"/>
      <c r="CT98" s="51"/>
    </row>
    <row r="99" ht="21.0" customHeight="1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50"/>
      <c r="AG99" s="51"/>
      <c r="AH99" s="52"/>
      <c r="AI99" s="52"/>
      <c r="AJ99" s="52"/>
      <c r="AK99" s="52"/>
      <c r="AL99" s="52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2"/>
      <c r="CJ99" s="52"/>
      <c r="CK99" s="52"/>
      <c r="CL99" s="52"/>
      <c r="CM99" s="52"/>
      <c r="CN99" s="52"/>
      <c r="CO99" s="52"/>
      <c r="CP99" s="51"/>
      <c r="CQ99" s="51"/>
      <c r="CR99" s="51"/>
      <c r="CS99" s="51"/>
      <c r="CT99" s="51"/>
    </row>
    <row r="100" ht="21.0" customHeight="1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50"/>
      <c r="AG100" s="51"/>
      <c r="AH100" s="52"/>
      <c r="AI100" s="52"/>
      <c r="AJ100" s="52"/>
      <c r="AK100" s="52"/>
      <c r="AL100" s="52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2"/>
      <c r="CJ100" s="52"/>
      <c r="CK100" s="52"/>
      <c r="CL100" s="52"/>
      <c r="CM100" s="52"/>
      <c r="CN100" s="52"/>
      <c r="CO100" s="52"/>
      <c r="CP100" s="51"/>
      <c r="CQ100" s="51"/>
      <c r="CR100" s="51"/>
      <c r="CS100" s="51"/>
      <c r="CT100" s="51"/>
    </row>
    <row r="101" ht="21.0" customHeight="1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50"/>
      <c r="AG101" s="51"/>
      <c r="AH101" s="52"/>
      <c r="AI101" s="52"/>
      <c r="AJ101" s="52"/>
      <c r="AK101" s="52"/>
      <c r="AL101" s="52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2"/>
      <c r="CJ101" s="52"/>
      <c r="CK101" s="52"/>
      <c r="CL101" s="52"/>
      <c r="CM101" s="52"/>
      <c r="CN101" s="52"/>
      <c r="CO101" s="52"/>
      <c r="CP101" s="51"/>
      <c r="CQ101" s="51"/>
      <c r="CR101" s="51"/>
      <c r="CS101" s="51"/>
      <c r="CT101" s="51"/>
    </row>
    <row r="102" ht="21.0" customHeight="1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50"/>
      <c r="AG102" s="51"/>
      <c r="AH102" s="52"/>
      <c r="AI102" s="52"/>
      <c r="AJ102" s="52"/>
      <c r="AK102" s="52"/>
      <c r="AL102" s="52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2"/>
      <c r="CJ102" s="52"/>
      <c r="CK102" s="52"/>
      <c r="CL102" s="52"/>
      <c r="CM102" s="52"/>
      <c r="CN102" s="52"/>
      <c r="CO102" s="52"/>
      <c r="CP102" s="51"/>
      <c r="CQ102" s="51"/>
      <c r="CR102" s="51"/>
      <c r="CS102" s="51"/>
      <c r="CT102" s="51"/>
    </row>
    <row r="103" ht="21.0" customHeight="1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50"/>
      <c r="AG103" s="51"/>
      <c r="AH103" s="52"/>
      <c r="AI103" s="52"/>
      <c r="AJ103" s="52"/>
      <c r="AK103" s="52"/>
      <c r="AL103" s="52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2"/>
      <c r="CJ103" s="52"/>
      <c r="CK103" s="52"/>
      <c r="CL103" s="52"/>
      <c r="CM103" s="52"/>
      <c r="CN103" s="52"/>
      <c r="CO103" s="52"/>
      <c r="CP103" s="51"/>
      <c r="CQ103" s="51"/>
      <c r="CR103" s="51"/>
      <c r="CS103" s="51"/>
      <c r="CT103" s="51"/>
    </row>
    <row r="104" ht="21.0" customHeight="1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50"/>
      <c r="AG104" s="51"/>
      <c r="AH104" s="52"/>
      <c r="AI104" s="52"/>
      <c r="AJ104" s="52"/>
      <c r="AK104" s="52"/>
      <c r="AL104" s="52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  <c r="BI104" s="54"/>
      <c r="BJ104" s="54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2"/>
      <c r="CJ104" s="52"/>
      <c r="CK104" s="52"/>
      <c r="CL104" s="52"/>
      <c r="CM104" s="52"/>
      <c r="CN104" s="52"/>
      <c r="CO104" s="52"/>
      <c r="CP104" s="51"/>
      <c r="CQ104" s="51"/>
      <c r="CR104" s="51"/>
      <c r="CS104" s="51"/>
      <c r="CT104" s="51"/>
    </row>
    <row r="105" ht="21.0" customHeight="1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50"/>
      <c r="AG105" s="51"/>
      <c r="AH105" s="52"/>
      <c r="AI105" s="52"/>
      <c r="AJ105" s="52"/>
      <c r="AK105" s="52"/>
      <c r="AL105" s="52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  <c r="BI105" s="54"/>
      <c r="BJ105" s="54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2"/>
      <c r="CJ105" s="52"/>
      <c r="CK105" s="52"/>
      <c r="CL105" s="52"/>
      <c r="CM105" s="52"/>
      <c r="CN105" s="52"/>
      <c r="CO105" s="52"/>
      <c r="CP105" s="51"/>
      <c r="CQ105" s="51"/>
      <c r="CR105" s="51"/>
      <c r="CS105" s="51"/>
      <c r="CT105" s="51"/>
    </row>
    <row r="106" ht="21.0" customHeight="1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50"/>
      <c r="AG106" s="51"/>
      <c r="AH106" s="52"/>
      <c r="AI106" s="52"/>
      <c r="AJ106" s="52"/>
      <c r="AK106" s="52"/>
      <c r="AL106" s="52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4"/>
      <c r="AX106" s="54"/>
      <c r="AY106" s="54"/>
      <c r="AZ106" s="54"/>
      <c r="BA106" s="54"/>
      <c r="BB106" s="54"/>
      <c r="BC106" s="54"/>
      <c r="BD106" s="54"/>
      <c r="BE106" s="54"/>
      <c r="BF106" s="54"/>
      <c r="BG106" s="54"/>
      <c r="BH106" s="54"/>
      <c r="BI106" s="54"/>
      <c r="BJ106" s="54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2"/>
      <c r="CJ106" s="52"/>
      <c r="CK106" s="52"/>
      <c r="CL106" s="52"/>
      <c r="CM106" s="52"/>
      <c r="CN106" s="52"/>
      <c r="CO106" s="52"/>
      <c r="CP106" s="51"/>
      <c r="CQ106" s="51"/>
      <c r="CR106" s="51"/>
      <c r="CS106" s="51"/>
      <c r="CT106" s="51"/>
    </row>
    <row r="107" ht="21.0" customHeight="1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50"/>
      <c r="AG107" s="51"/>
      <c r="AH107" s="52"/>
      <c r="AI107" s="52"/>
      <c r="AJ107" s="52"/>
      <c r="AK107" s="52"/>
      <c r="AL107" s="52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4"/>
      <c r="AX107" s="54"/>
      <c r="AY107" s="54"/>
      <c r="AZ107" s="54"/>
      <c r="BA107" s="54"/>
      <c r="BB107" s="54"/>
      <c r="BC107" s="54"/>
      <c r="BD107" s="54"/>
      <c r="BE107" s="54"/>
      <c r="BF107" s="54"/>
      <c r="BG107" s="54"/>
      <c r="BH107" s="54"/>
      <c r="BI107" s="54"/>
      <c r="BJ107" s="54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2"/>
      <c r="CJ107" s="52"/>
      <c r="CK107" s="52"/>
      <c r="CL107" s="52"/>
      <c r="CM107" s="52"/>
      <c r="CN107" s="52"/>
      <c r="CO107" s="52"/>
      <c r="CP107" s="51"/>
      <c r="CQ107" s="51"/>
      <c r="CR107" s="51"/>
      <c r="CS107" s="51"/>
      <c r="CT107" s="51"/>
    </row>
    <row r="108" ht="21.0" customHeight="1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50"/>
      <c r="AG108" s="51"/>
      <c r="AH108" s="52"/>
      <c r="AI108" s="52"/>
      <c r="AJ108" s="52"/>
      <c r="AK108" s="52"/>
      <c r="AL108" s="52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  <c r="BI108" s="54"/>
      <c r="BJ108" s="54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2"/>
      <c r="CJ108" s="52"/>
      <c r="CK108" s="52"/>
      <c r="CL108" s="52"/>
      <c r="CM108" s="52"/>
      <c r="CN108" s="52"/>
      <c r="CO108" s="52"/>
      <c r="CP108" s="51"/>
      <c r="CQ108" s="51"/>
      <c r="CR108" s="51"/>
      <c r="CS108" s="51"/>
      <c r="CT108" s="51"/>
    </row>
    <row r="109" ht="21.0" customHeight="1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50"/>
      <c r="AG109" s="51"/>
      <c r="AH109" s="52"/>
      <c r="AI109" s="52"/>
      <c r="AJ109" s="52"/>
      <c r="AK109" s="52"/>
      <c r="AL109" s="52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  <c r="BI109" s="54"/>
      <c r="BJ109" s="54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2"/>
      <c r="CJ109" s="52"/>
      <c r="CK109" s="52"/>
      <c r="CL109" s="52"/>
      <c r="CM109" s="52"/>
      <c r="CN109" s="52"/>
      <c r="CO109" s="52"/>
      <c r="CP109" s="51"/>
      <c r="CQ109" s="51"/>
      <c r="CR109" s="51"/>
      <c r="CS109" s="51"/>
      <c r="CT109" s="51"/>
    </row>
    <row r="110" ht="21.0" customHeight="1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50"/>
      <c r="AG110" s="51"/>
      <c r="AH110" s="52"/>
      <c r="AI110" s="52"/>
      <c r="AJ110" s="52"/>
      <c r="AK110" s="52"/>
      <c r="AL110" s="52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4"/>
      <c r="AX110" s="54"/>
      <c r="AY110" s="54"/>
      <c r="AZ110" s="54"/>
      <c r="BA110" s="54"/>
      <c r="BB110" s="54"/>
      <c r="BC110" s="54"/>
      <c r="BD110" s="54"/>
      <c r="BE110" s="54"/>
      <c r="BF110" s="54"/>
      <c r="BG110" s="54"/>
      <c r="BH110" s="54"/>
      <c r="BI110" s="54"/>
      <c r="BJ110" s="54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2"/>
      <c r="CJ110" s="52"/>
      <c r="CK110" s="52"/>
      <c r="CL110" s="52"/>
      <c r="CM110" s="52"/>
      <c r="CN110" s="52"/>
      <c r="CO110" s="52"/>
      <c r="CP110" s="51"/>
      <c r="CQ110" s="51"/>
      <c r="CR110" s="51"/>
      <c r="CS110" s="51"/>
      <c r="CT110" s="51"/>
    </row>
    <row r="111" ht="21.0" customHeight="1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50"/>
      <c r="AG111" s="51"/>
      <c r="AH111" s="52"/>
      <c r="AI111" s="52"/>
      <c r="AJ111" s="52"/>
      <c r="AK111" s="52"/>
      <c r="AL111" s="52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4"/>
      <c r="AX111" s="54"/>
      <c r="AY111" s="54"/>
      <c r="AZ111" s="54"/>
      <c r="BA111" s="54"/>
      <c r="BB111" s="54"/>
      <c r="BC111" s="54"/>
      <c r="BD111" s="54"/>
      <c r="BE111" s="54"/>
      <c r="BF111" s="54"/>
      <c r="BG111" s="54"/>
      <c r="BH111" s="54"/>
      <c r="BI111" s="54"/>
      <c r="BJ111" s="54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2"/>
      <c r="CJ111" s="52"/>
      <c r="CK111" s="52"/>
      <c r="CL111" s="52"/>
      <c r="CM111" s="52"/>
      <c r="CN111" s="52"/>
      <c r="CO111" s="52"/>
      <c r="CP111" s="51"/>
      <c r="CQ111" s="51"/>
      <c r="CR111" s="51"/>
      <c r="CS111" s="51"/>
      <c r="CT111" s="51"/>
    </row>
    <row r="112" ht="21.0" customHeight="1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50"/>
      <c r="AG112" s="51"/>
      <c r="AH112" s="52"/>
      <c r="AI112" s="52"/>
      <c r="AJ112" s="52"/>
      <c r="AK112" s="52"/>
      <c r="AL112" s="52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4"/>
      <c r="AX112" s="54"/>
      <c r="AY112" s="54"/>
      <c r="AZ112" s="54"/>
      <c r="BA112" s="54"/>
      <c r="BB112" s="54"/>
      <c r="BC112" s="54"/>
      <c r="BD112" s="54"/>
      <c r="BE112" s="54"/>
      <c r="BF112" s="54"/>
      <c r="BG112" s="54"/>
      <c r="BH112" s="54"/>
      <c r="BI112" s="54"/>
      <c r="BJ112" s="54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2"/>
      <c r="CJ112" s="52"/>
      <c r="CK112" s="52"/>
      <c r="CL112" s="52"/>
      <c r="CM112" s="52"/>
      <c r="CN112" s="52"/>
      <c r="CO112" s="52"/>
      <c r="CP112" s="51"/>
      <c r="CQ112" s="51"/>
      <c r="CR112" s="51"/>
      <c r="CS112" s="51"/>
      <c r="CT112" s="51"/>
    </row>
    <row r="113" ht="21.0" customHeight="1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50"/>
      <c r="AG113" s="51"/>
      <c r="AH113" s="52"/>
      <c r="AI113" s="52"/>
      <c r="AJ113" s="52"/>
      <c r="AK113" s="52"/>
      <c r="AL113" s="52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4"/>
      <c r="AX113" s="54"/>
      <c r="AY113" s="54"/>
      <c r="AZ113" s="54"/>
      <c r="BA113" s="54"/>
      <c r="BB113" s="54"/>
      <c r="BC113" s="54"/>
      <c r="BD113" s="54"/>
      <c r="BE113" s="54"/>
      <c r="BF113" s="54"/>
      <c r="BG113" s="54"/>
      <c r="BH113" s="54"/>
      <c r="BI113" s="54"/>
      <c r="BJ113" s="54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2"/>
      <c r="CJ113" s="52"/>
      <c r="CK113" s="52"/>
      <c r="CL113" s="52"/>
      <c r="CM113" s="52"/>
      <c r="CN113" s="52"/>
      <c r="CO113" s="52"/>
      <c r="CP113" s="51"/>
      <c r="CQ113" s="51"/>
      <c r="CR113" s="51"/>
      <c r="CS113" s="51"/>
      <c r="CT113" s="51"/>
    </row>
    <row r="114" ht="21.0" customHeight="1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50"/>
      <c r="AG114" s="51"/>
      <c r="AH114" s="52"/>
      <c r="AI114" s="52"/>
      <c r="AJ114" s="52"/>
      <c r="AK114" s="52"/>
      <c r="AL114" s="52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  <c r="BI114" s="54"/>
      <c r="BJ114" s="54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2"/>
      <c r="CJ114" s="52"/>
      <c r="CK114" s="52"/>
      <c r="CL114" s="52"/>
      <c r="CM114" s="52"/>
      <c r="CN114" s="52"/>
      <c r="CO114" s="52"/>
      <c r="CP114" s="51"/>
      <c r="CQ114" s="51"/>
      <c r="CR114" s="51"/>
      <c r="CS114" s="51"/>
      <c r="CT114" s="51"/>
    </row>
    <row r="115" ht="21.0" customHeight="1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50"/>
      <c r="AG115" s="51"/>
      <c r="AH115" s="52"/>
      <c r="AI115" s="52"/>
      <c r="AJ115" s="52"/>
      <c r="AK115" s="52"/>
      <c r="AL115" s="52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  <c r="BI115" s="54"/>
      <c r="BJ115" s="54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2"/>
      <c r="CJ115" s="52"/>
      <c r="CK115" s="52"/>
      <c r="CL115" s="52"/>
      <c r="CM115" s="52"/>
      <c r="CN115" s="52"/>
      <c r="CO115" s="52"/>
      <c r="CP115" s="51"/>
      <c r="CQ115" s="51"/>
      <c r="CR115" s="51"/>
      <c r="CS115" s="51"/>
      <c r="CT115" s="51"/>
    </row>
    <row r="116" ht="21.0" customHeight="1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50"/>
      <c r="AG116" s="51"/>
      <c r="AH116" s="52"/>
      <c r="AI116" s="52"/>
      <c r="AJ116" s="52"/>
      <c r="AK116" s="52"/>
      <c r="AL116" s="52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4"/>
      <c r="AX116" s="54"/>
      <c r="AY116" s="54"/>
      <c r="AZ116" s="54"/>
      <c r="BA116" s="54"/>
      <c r="BB116" s="54"/>
      <c r="BC116" s="54"/>
      <c r="BD116" s="54"/>
      <c r="BE116" s="54"/>
      <c r="BF116" s="54"/>
      <c r="BG116" s="54"/>
      <c r="BH116" s="54"/>
      <c r="BI116" s="54"/>
      <c r="BJ116" s="54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2"/>
      <c r="CJ116" s="52"/>
      <c r="CK116" s="52"/>
      <c r="CL116" s="52"/>
      <c r="CM116" s="52"/>
      <c r="CN116" s="52"/>
      <c r="CO116" s="52"/>
      <c r="CP116" s="51"/>
      <c r="CQ116" s="51"/>
      <c r="CR116" s="51"/>
      <c r="CS116" s="51"/>
      <c r="CT116" s="51"/>
    </row>
    <row r="117" ht="21.0" customHeight="1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50"/>
      <c r="AG117" s="51"/>
      <c r="AH117" s="52"/>
      <c r="AI117" s="52"/>
      <c r="AJ117" s="52"/>
      <c r="AK117" s="52"/>
      <c r="AL117" s="52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4"/>
      <c r="AX117" s="54"/>
      <c r="AY117" s="54"/>
      <c r="AZ117" s="54"/>
      <c r="BA117" s="54"/>
      <c r="BB117" s="54"/>
      <c r="BC117" s="54"/>
      <c r="BD117" s="54"/>
      <c r="BE117" s="54"/>
      <c r="BF117" s="54"/>
      <c r="BG117" s="54"/>
      <c r="BH117" s="54"/>
      <c r="BI117" s="54"/>
      <c r="BJ117" s="54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2"/>
      <c r="CJ117" s="52"/>
      <c r="CK117" s="52"/>
      <c r="CL117" s="52"/>
      <c r="CM117" s="52"/>
      <c r="CN117" s="52"/>
      <c r="CO117" s="52"/>
      <c r="CP117" s="51"/>
      <c r="CQ117" s="51"/>
      <c r="CR117" s="51"/>
      <c r="CS117" s="51"/>
      <c r="CT117" s="51"/>
    </row>
    <row r="118" ht="21.0" customHeight="1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50"/>
      <c r="AG118" s="51"/>
      <c r="AH118" s="52"/>
      <c r="AI118" s="52"/>
      <c r="AJ118" s="52"/>
      <c r="AK118" s="52"/>
      <c r="AL118" s="52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4"/>
      <c r="AX118" s="54"/>
      <c r="AY118" s="54"/>
      <c r="AZ118" s="54"/>
      <c r="BA118" s="54"/>
      <c r="BB118" s="54"/>
      <c r="BC118" s="54"/>
      <c r="BD118" s="54"/>
      <c r="BE118" s="54"/>
      <c r="BF118" s="54"/>
      <c r="BG118" s="54"/>
      <c r="BH118" s="54"/>
      <c r="BI118" s="54"/>
      <c r="BJ118" s="54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2"/>
      <c r="CJ118" s="52"/>
      <c r="CK118" s="52"/>
      <c r="CL118" s="52"/>
      <c r="CM118" s="52"/>
      <c r="CN118" s="52"/>
      <c r="CO118" s="52"/>
      <c r="CP118" s="51"/>
      <c r="CQ118" s="51"/>
      <c r="CR118" s="51"/>
      <c r="CS118" s="51"/>
      <c r="CT118" s="51"/>
    </row>
    <row r="119" ht="21.0" customHeight="1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50"/>
      <c r="AG119" s="51"/>
      <c r="AH119" s="52"/>
      <c r="AI119" s="52"/>
      <c r="AJ119" s="52"/>
      <c r="AK119" s="52"/>
      <c r="AL119" s="52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4"/>
      <c r="AX119" s="54"/>
      <c r="AY119" s="54"/>
      <c r="AZ119" s="54"/>
      <c r="BA119" s="54"/>
      <c r="BB119" s="54"/>
      <c r="BC119" s="54"/>
      <c r="BD119" s="54"/>
      <c r="BE119" s="54"/>
      <c r="BF119" s="54"/>
      <c r="BG119" s="54"/>
      <c r="BH119" s="54"/>
      <c r="BI119" s="54"/>
      <c r="BJ119" s="54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2"/>
      <c r="CJ119" s="52"/>
      <c r="CK119" s="52"/>
      <c r="CL119" s="52"/>
      <c r="CM119" s="52"/>
      <c r="CN119" s="52"/>
      <c r="CO119" s="52"/>
      <c r="CP119" s="51"/>
      <c r="CQ119" s="51"/>
      <c r="CR119" s="51"/>
      <c r="CS119" s="51"/>
      <c r="CT119" s="51"/>
    </row>
    <row r="120" ht="21.0" customHeight="1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50"/>
      <c r="AG120" s="51"/>
      <c r="AH120" s="52"/>
      <c r="AI120" s="52"/>
      <c r="AJ120" s="52"/>
      <c r="AK120" s="52"/>
      <c r="AL120" s="52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4"/>
      <c r="AX120" s="54"/>
      <c r="AY120" s="54"/>
      <c r="AZ120" s="54"/>
      <c r="BA120" s="54"/>
      <c r="BB120" s="54"/>
      <c r="BC120" s="54"/>
      <c r="BD120" s="54"/>
      <c r="BE120" s="54"/>
      <c r="BF120" s="54"/>
      <c r="BG120" s="54"/>
      <c r="BH120" s="54"/>
      <c r="BI120" s="54"/>
      <c r="BJ120" s="54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2"/>
      <c r="CJ120" s="52"/>
      <c r="CK120" s="52"/>
      <c r="CL120" s="52"/>
      <c r="CM120" s="52"/>
      <c r="CN120" s="52"/>
      <c r="CO120" s="52"/>
      <c r="CP120" s="51"/>
      <c r="CQ120" s="51"/>
      <c r="CR120" s="51"/>
      <c r="CS120" s="51"/>
      <c r="CT120" s="51"/>
    </row>
    <row r="121" ht="21.0" customHeight="1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50"/>
      <c r="AG121" s="51"/>
      <c r="AH121" s="52"/>
      <c r="AI121" s="52"/>
      <c r="AJ121" s="52"/>
      <c r="AK121" s="52"/>
      <c r="AL121" s="52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  <c r="BI121" s="54"/>
      <c r="BJ121" s="54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2"/>
      <c r="CJ121" s="52"/>
      <c r="CK121" s="52"/>
      <c r="CL121" s="52"/>
      <c r="CM121" s="52"/>
      <c r="CN121" s="52"/>
      <c r="CO121" s="52"/>
      <c r="CP121" s="51"/>
      <c r="CQ121" s="51"/>
      <c r="CR121" s="51"/>
      <c r="CS121" s="51"/>
      <c r="CT121" s="51"/>
    </row>
    <row r="122" ht="21.0" customHeight="1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50"/>
      <c r="AG122" s="51"/>
      <c r="AH122" s="52"/>
      <c r="AI122" s="52"/>
      <c r="AJ122" s="52"/>
      <c r="AK122" s="52"/>
      <c r="AL122" s="52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4"/>
      <c r="AX122" s="54"/>
      <c r="AY122" s="54"/>
      <c r="AZ122" s="54"/>
      <c r="BA122" s="54"/>
      <c r="BB122" s="54"/>
      <c r="BC122" s="54"/>
      <c r="BD122" s="54"/>
      <c r="BE122" s="54"/>
      <c r="BF122" s="54"/>
      <c r="BG122" s="54"/>
      <c r="BH122" s="54"/>
      <c r="BI122" s="54"/>
      <c r="BJ122" s="54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2"/>
      <c r="CJ122" s="52"/>
      <c r="CK122" s="52"/>
      <c r="CL122" s="52"/>
      <c r="CM122" s="52"/>
      <c r="CN122" s="52"/>
      <c r="CO122" s="52"/>
      <c r="CP122" s="51"/>
      <c r="CQ122" s="51"/>
      <c r="CR122" s="51"/>
      <c r="CS122" s="51"/>
      <c r="CT122" s="51"/>
    </row>
    <row r="123" ht="21.0" customHeight="1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50"/>
      <c r="AG123" s="51"/>
      <c r="AH123" s="52"/>
      <c r="AI123" s="52"/>
      <c r="AJ123" s="52"/>
      <c r="AK123" s="52"/>
      <c r="AL123" s="52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4"/>
      <c r="AX123" s="54"/>
      <c r="AY123" s="54"/>
      <c r="AZ123" s="54"/>
      <c r="BA123" s="54"/>
      <c r="BB123" s="54"/>
      <c r="BC123" s="54"/>
      <c r="BD123" s="54"/>
      <c r="BE123" s="54"/>
      <c r="BF123" s="54"/>
      <c r="BG123" s="54"/>
      <c r="BH123" s="54"/>
      <c r="BI123" s="54"/>
      <c r="BJ123" s="54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2"/>
      <c r="CJ123" s="52"/>
      <c r="CK123" s="52"/>
      <c r="CL123" s="52"/>
      <c r="CM123" s="52"/>
      <c r="CN123" s="52"/>
      <c r="CO123" s="52"/>
      <c r="CP123" s="51"/>
      <c r="CQ123" s="51"/>
      <c r="CR123" s="51"/>
      <c r="CS123" s="51"/>
      <c r="CT123" s="51"/>
    </row>
    <row r="124" ht="21.0" customHeight="1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50"/>
      <c r="AG124" s="51"/>
      <c r="AH124" s="52"/>
      <c r="AI124" s="52"/>
      <c r="AJ124" s="52"/>
      <c r="AK124" s="52"/>
      <c r="AL124" s="52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4"/>
      <c r="AX124" s="54"/>
      <c r="AY124" s="54"/>
      <c r="AZ124" s="54"/>
      <c r="BA124" s="54"/>
      <c r="BB124" s="54"/>
      <c r="BC124" s="54"/>
      <c r="BD124" s="54"/>
      <c r="BE124" s="54"/>
      <c r="BF124" s="54"/>
      <c r="BG124" s="54"/>
      <c r="BH124" s="54"/>
      <c r="BI124" s="54"/>
      <c r="BJ124" s="54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2"/>
      <c r="CJ124" s="52"/>
      <c r="CK124" s="52"/>
      <c r="CL124" s="52"/>
      <c r="CM124" s="52"/>
      <c r="CN124" s="52"/>
      <c r="CO124" s="52"/>
      <c r="CP124" s="51"/>
      <c r="CQ124" s="51"/>
      <c r="CR124" s="51"/>
      <c r="CS124" s="51"/>
      <c r="CT124" s="51"/>
    </row>
    <row r="125" ht="21.0" customHeight="1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50"/>
      <c r="AG125" s="51"/>
      <c r="AH125" s="52"/>
      <c r="AI125" s="52"/>
      <c r="AJ125" s="52"/>
      <c r="AK125" s="52"/>
      <c r="AL125" s="52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4"/>
      <c r="AX125" s="54"/>
      <c r="AY125" s="54"/>
      <c r="AZ125" s="54"/>
      <c r="BA125" s="54"/>
      <c r="BB125" s="54"/>
      <c r="BC125" s="54"/>
      <c r="BD125" s="54"/>
      <c r="BE125" s="54"/>
      <c r="BF125" s="54"/>
      <c r="BG125" s="54"/>
      <c r="BH125" s="54"/>
      <c r="BI125" s="54"/>
      <c r="BJ125" s="54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2"/>
      <c r="CJ125" s="52"/>
      <c r="CK125" s="52"/>
      <c r="CL125" s="52"/>
      <c r="CM125" s="52"/>
      <c r="CN125" s="52"/>
      <c r="CO125" s="52"/>
      <c r="CP125" s="51"/>
      <c r="CQ125" s="51"/>
      <c r="CR125" s="51"/>
      <c r="CS125" s="51"/>
      <c r="CT125" s="51"/>
    </row>
    <row r="126" ht="21.0" customHeight="1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50"/>
      <c r="AG126" s="51"/>
      <c r="AH126" s="52"/>
      <c r="AI126" s="52"/>
      <c r="AJ126" s="52"/>
      <c r="AK126" s="52"/>
      <c r="AL126" s="52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4"/>
      <c r="AX126" s="54"/>
      <c r="AY126" s="54"/>
      <c r="AZ126" s="54"/>
      <c r="BA126" s="54"/>
      <c r="BB126" s="54"/>
      <c r="BC126" s="54"/>
      <c r="BD126" s="54"/>
      <c r="BE126" s="54"/>
      <c r="BF126" s="54"/>
      <c r="BG126" s="54"/>
      <c r="BH126" s="54"/>
      <c r="BI126" s="54"/>
      <c r="BJ126" s="54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2"/>
      <c r="CJ126" s="52"/>
      <c r="CK126" s="52"/>
      <c r="CL126" s="52"/>
      <c r="CM126" s="52"/>
      <c r="CN126" s="52"/>
      <c r="CO126" s="52"/>
      <c r="CP126" s="51"/>
      <c r="CQ126" s="51"/>
      <c r="CR126" s="51"/>
      <c r="CS126" s="51"/>
      <c r="CT126" s="51"/>
    </row>
    <row r="127" ht="21.0" customHeight="1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50"/>
      <c r="AG127" s="51"/>
      <c r="AH127" s="52"/>
      <c r="AI127" s="52"/>
      <c r="AJ127" s="52"/>
      <c r="AK127" s="52"/>
      <c r="AL127" s="52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4"/>
      <c r="AX127" s="54"/>
      <c r="AY127" s="54"/>
      <c r="AZ127" s="54"/>
      <c r="BA127" s="54"/>
      <c r="BB127" s="54"/>
      <c r="BC127" s="54"/>
      <c r="BD127" s="54"/>
      <c r="BE127" s="54"/>
      <c r="BF127" s="54"/>
      <c r="BG127" s="54"/>
      <c r="BH127" s="54"/>
      <c r="BI127" s="54"/>
      <c r="BJ127" s="54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2"/>
      <c r="CJ127" s="52"/>
      <c r="CK127" s="52"/>
      <c r="CL127" s="52"/>
      <c r="CM127" s="52"/>
      <c r="CN127" s="52"/>
      <c r="CO127" s="52"/>
      <c r="CP127" s="51"/>
      <c r="CQ127" s="51"/>
      <c r="CR127" s="51"/>
      <c r="CS127" s="51"/>
      <c r="CT127" s="51"/>
    </row>
    <row r="128" ht="21.0" customHeight="1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50"/>
      <c r="AG128" s="51"/>
      <c r="AH128" s="52"/>
      <c r="AI128" s="52"/>
      <c r="AJ128" s="52"/>
      <c r="AK128" s="52"/>
      <c r="AL128" s="52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4"/>
      <c r="AX128" s="54"/>
      <c r="AY128" s="54"/>
      <c r="AZ128" s="54"/>
      <c r="BA128" s="54"/>
      <c r="BB128" s="54"/>
      <c r="BC128" s="54"/>
      <c r="BD128" s="54"/>
      <c r="BE128" s="54"/>
      <c r="BF128" s="54"/>
      <c r="BG128" s="54"/>
      <c r="BH128" s="54"/>
      <c r="BI128" s="54"/>
      <c r="BJ128" s="54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2"/>
      <c r="CJ128" s="52"/>
      <c r="CK128" s="52"/>
      <c r="CL128" s="52"/>
      <c r="CM128" s="52"/>
      <c r="CN128" s="52"/>
      <c r="CO128" s="52"/>
      <c r="CP128" s="51"/>
      <c r="CQ128" s="51"/>
      <c r="CR128" s="51"/>
      <c r="CS128" s="51"/>
      <c r="CT128" s="51"/>
    </row>
    <row r="129" ht="21.0" customHeight="1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50"/>
      <c r="AG129" s="51"/>
      <c r="AH129" s="52"/>
      <c r="AI129" s="52"/>
      <c r="AJ129" s="52"/>
      <c r="AK129" s="52"/>
      <c r="AL129" s="52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4"/>
      <c r="AX129" s="54"/>
      <c r="AY129" s="54"/>
      <c r="AZ129" s="54"/>
      <c r="BA129" s="54"/>
      <c r="BB129" s="54"/>
      <c r="BC129" s="54"/>
      <c r="BD129" s="54"/>
      <c r="BE129" s="54"/>
      <c r="BF129" s="54"/>
      <c r="BG129" s="54"/>
      <c r="BH129" s="54"/>
      <c r="BI129" s="54"/>
      <c r="BJ129" s="54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2"/>
      <c r="CJ129" s="52"/>
      <c r="CK129" s="52"/>
      <c r="CL129" s="52"/>
      <c r="CM129" s="52"/>
      <c r="CN129" s="52"/>
      <c r="CO129" s="52"/>
      <c r="CP129" s="51"/>
      <c r="CQ129" s="51"/>
      <c r="CR129" s="51"/>
      <c r="CS129" s="51"/>
      <c r="CT129" s="51"/>
    </row>
    <row r="130" ht="21.0" customHeight="1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50"/>
      <c r="AG130" s="51"/>
      <c r="AH130" s="52"/>
      <c r="AI130" s="52"/>
      <c r="AJ130" s="52"/>
      <c r="AK130" s="52"/>
      <c r="AL130" s="52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4"/>
      <c r="AX130" s="54"/>
      <c r="AY130" s="54"/>
      <c r="AZ130" s="54"/>
      <c r="BA130" s="54"/>
      <c r="BB130" s="54"/>
      <c r="BC130" s="54"/>
      <c r="BD130" s="54"/>
      <c r="BE130" s="54"/>
      <c r="BF130" s="54"/>
      <c r="BG130" s="54"/>
      <c r="BH130" s="54"/>
      <c r="BI130" s="54"/>
      <c r="BJ130" s="54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2"/>
      <c r="CJ130" s="52"/>
      <c r="CK130" s="52"/>
      <c r="CL130" s="52"/>
      <c r="CM130" s="52"/>
      <c r="CN130" s="52"/>
      <c r="CO130" s="52"/>
      <c r="CP130" s="51"/>
      <c r="CQ130" s="51"/>
      <c r="CR130" s="51"/>
      <c r="CS130" s="51"/>
      <c r="CT130" s="51"/>
    </row>
    <row r="131" ht="21.0" customHeight="1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50"/>
      <c r="AG131" s="51"/>
      <c r="AH131" s="52"/>
      <c r="AI131" s="52"/>
      <c r="AJ131" s="52"/>
      <c r="AK131" s="52"/>
      <c r="AL131" s="52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4"/>
      <c r="AX131" s="54"/>
      <c r="AY131" s="54"/>
      <c r="AZ131" s="54"/>
      <c r="BA131" s="54"/>
      <c r="BB131" s="54"/>
      <c r="BC131" s="54"/>
      <c r="BD131" s="54"/>
      <c r="BE131" s="54"/>
      <c r="BF131" s="54"/>
      <c r="BG131" s="54"/>
      <c r="BH131" s="54"/>
      <c r="BI131" s="54"/>
      <c r="BJ131" s="54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2"/>
      <c r="CJ131" s="52"/>
      <c r="CK131" s="52"/>
      <c r="CL131" s="52"/>
      <c r="CM131" s="52"/>
      <c r="CN131" s="52"/>
      <c r="CO131" s="52"/>
      <c r="CP131" s="51"/>
      <c r="CQ131" s="51"/>
      <c r="CR131" s="51"/>
      <c r="CS131" s="51"/>
      <c r="CT131" s="51"/>
    </row>
    <row r="132" ht="21.0" customHeight="1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50"/>
      <c r="AG132" s="51"/>
      <c r="AH132" s="52"/>
      <c r="AI132" s="52"/>
      <c r="AJ132" s="52"/>
      <c r="AK132" s="52"/>
      <c r="AL132" s="52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  <c r="BI132" s="54"/>
      <c r="BJ132" s="54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2"/>
      <c r="CJ132" s="52"/>
      <c r="CK132" s="52"/>
      <c r="CL132" s="52"/>
      <c r="CM132" s="52"/>
      <c r="CN132" s="52"/>
      <c r="CO132" s="52"/>
      <c r="CP132" s="51"/>
      <c r="CQ132" s="51"/>
      <c r="CR132" s="51"/>
      <c r="CS132" s="51"/>
      <c r="CT132" s="51"/>
    </row>
    <row r="133" ht="21.0" customHeight="1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50"/>
      <c r="AG133" s="51"/>
      <c r="AH133" s="52"/>
      <c r="AI133" s="52"/>
      <c r="AJ133" s="52"/>
      <c r="AK133" s="52"/>
      <c r="AL133" s="52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4"/>
      <c r="AX133" s="54"/>
      <c r="AY133" s="54"/>
      <c r="AZ133" s="54"/>
      <c r="BA133" s="54"/>
      <c r="BB133" s="54"/>
      <c r="BC133" s="54"/>
      <c r="BD133" s="54"/>
      <c r="BE133" s="54"/>
      <c r="BF133" s="54"/>
      <c r="BG133" s="54"/>
      <c r="BH133" s="54"/>
      <c r="BI133" s="54"/>
      <c r="BJ133" s="54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2"/>
      <c r="CJ133" s="52"/>
      <c r="CK133" s="52"/>
      <c r="CL133" s="52"/>
      <c r="CM133" s="52"/>
      <c r="CN133" s="52"/>
      <c r="CO133" s="52"/>
      <c r="CP133" s="51"/>
      <c r="CQ133" s="51"/>
      <c r="CR133" s="51"/>
      <c r="CS133" s="51"/>
      <c r="CT133" s="51"/>
    </row>
    <row r="134" ht="21.0" customHeight="1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50"/>
      <c r="AG134" s="51"/>
      <c r="AH134" s="52"/>
      <c r="AI134" s="52"/>
      <c r="AJ134" s="52"/>
      <c r="AK134" s="52"/>
      <c r="AL134" s="52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  <c r="BI134" s="54"/>
      <c r="BJ134" s="54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2"/>
      <c r="CJ134" s="52"/>
      <c r="CK134" s="52"/>
      <c r="CL134" s="52"/>
      <c r="CM134" s="52"/>
      <c r="CN134" s="52"/>
      <c r="CO134" s="52"/>
      <c r="CP134" s="51"/>
      <c r="CQ134" s="51"/>
      <c r="CR134" s="51"/>
      <c r="CS134" s="51"/>
      <c r="CT134" s="51"/>
    </row>
    <row r="135" ht="21.0" customHeight="1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50"/>
      <c r="AG135" s="51"/>
      <c r="AH135" s="52"/>
      <c r="AI135" s="52"/>
      <c r="AJ135" s="52"/>
      <c r="AK135" s="52"/>
      <c r="AL135" s="52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4"/>
      <c r="AX135" s="54"/>
      <c r="AY135" s="54"/>
      <c r="AZ135" s="54"/>
      <c r="BA135" s="54"/>
      <c r="BB135" s="54"/>
      <c r="BC135" s="54"/>
      <c r="BD135" s="54"/>
      <c r="BE135" s="54"/>
      <c r="BF135" s="54"/>
      <c r="BG135" s="54"/>
      <c r="BH135" s="54"/>
      <c r="BI135" s="54"/>
      <c r="BJ135" s="54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2"/>
      <c r="CJ135" s="52"/>
      <c r="CK135" s="52"/>
      <c r="CL135" s="52"/>
      <c r="CM135" s="52"/>
      <c r="CN135" s="52"/>
      <c r="CO135" s="52"/>
      <c r="CP135" s="51"/>
      <c r="CQ135" s="51"/>
      <c r="CR135" s="51"/>
      <c r="CS135" s="51"/>
      <c r="CT135" s="51"/>
    </row>
    <row r="136" ht="21.0" customHeight="1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50"/>
      <c r="AG136" s="51"/>
      <c r="AH136" s="52"/>
      <c r="AI136" s="52"/>
      <c r="AJ136" s="52"/>
      <c r="AK136" s="52"/>
      <c r="AL136" s="52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4"/>
      <c r="AX136" s="54"/>
      <c r="AY136" s="54"/>
      <c r="AZ136" s="54"/>
      <c r="BA136" s="54"/>
      <c r="BB136" s="54"/>
      <c r="BC136" s="54"/>
      <c r="BD136" s="54"/>
      <c r="BE136" s="54"/>
      <c r="BF136" s="54"/>
      <c r="BG136" s="54"/>
      <c r="BH136" s="54"/>
      <c r="BI136" s="54"/>
      <c r="BJ136" s="54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2"/>
      <c r="CJ136" s="52"/>
      <c r="CK136" s="52"/>
      <c r="CL136" s="52"/>
      <c r="CM136" s="52"/>
      <c r="CN136" s="52"/>
      <c r="CO136" s="52"/>
      <c r="CP136" s="51"/>
      <c r="CQ136" s="51"/>
      <c r="CR136" s="51"/>
      <c r="CS136" s="51"/>
      <c r="CT136" s="51"/>
    </row>
    <row r="137" ht="21.0" customHeight="1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50"/>
      <c r="AG137" s="51"/>
      <c r="AH137" s="52"/>
      <c r="AI137" s="52"/>
      <c r="AJ137" s="52"/>
      <c r="AK137" s="52"/>
      <c r="AL137" s="52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4"/>
      <c r="AX137" s="54"/>
      <c r="AY137" s="54"/>
      <c r="AZ137" s="54"/>
      <c r="BA137" s="54"/>
      <c r="BB137" s="54"/>
      <c r="BC137" s="54"/>
      <c r="BD137" s="54"/>
      <c r="BE137" s="54"/>
      <c r="BF137" s="54"/>
      <c r="BG137" s="54"/>
      <c r="BH137" s="54"/>
      <c r="BI137" s="54"/>
      <c r="BJ137" s="54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2"/>
      <c r="CJ137" s="52"/>
      <c r="CK137" s="52"/>
      <c r="CL137" s="52"/>
      <c r="CM137" s="52"/>
      <c r="CN137" s="52"/>
      <c r="CO137" s="52"/>
      <c r="CP137" s="51"/>
      <c r="CQ137" s="51"/>
      <c r="CR137" s="51"/>
      <c r="CS137" s="51"/>
      <c r="CT137" s="51"/>
    </row>
    <row r="138" ht="21.0" customHeight="1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50"/>
      <c r="AG138" s="51"/>
      <c r="AH138" s="52"/>
      <c r="AI138" s="52"/>
      <c r="AJ138" s="52"/>
      <c r="AK138" s="52"/>
      <c r="AL138" s="52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4"/>
      <c r="AX138" s="54"/>
      <c r="AY138" s="54"/>
      <c r="AZ138" s="54"/>
      <c r="BA138" s="54"/>
      <c r="BB138" s="54"/>
      <c r="BC138" s="54"/>
      <c r="BD138" s="54"/>
      <c r="BE138" s="54"/>
      <c r="BF138" s="54"/>
      <c r="BG138" s="54"/>
      <c r="BH138" s="54"/>
      <c r="BI138" s="54"/>
      <c r="BJ138" s="54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2"/>
      <c r="CJ138" s="52"/>
      <c r="CK138" s="52"/>
      <c r="CL138" s="52"/>
      <c r="CM138" s="52"/>
      <c r="CN138" s="52"/>
      <c r="CO138" s="52"/>
      <c r="CP138" s="51"/>
      <c r="CQ138" s="51"/>
      <c r="CR138" s="51"/>
      <c r="CS138" s="51"/>
      <c r="CT138" s="51"/>
    </row>
    <row r="139" ht="21.0" customHeight="1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50"/>
      <c r="AG139" s="51"/>
      <c r="AH139" s="52"/>
      <c r="AI139" s="52"/>
      <c r="AJ139" s="52"/>
      <c r="AK139" s="52"/>
      <c r="AL139" s="52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  <c r="BI139" s="54"/>
      <c r="BJ139" s="54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2"/>
      <c r="CJ139" s="52"/>
      <c r="CK139" s="52"/>
      <c r="CL139" s="52"/>
      <c r="CM139" s="52"/>
      <c r="CN139" s="52"/>
      <c r="CO139" s="52"/>
      <c r="CP139" s="51"/>
      <c r="CQ139" s="51"/>
      <c r="CR139" s="51"/>
      <c r="CS139" s="51"/>
      <c r="CT139" s="51"/>
    </row>
    <row r="140" ht="21.0" customHeight="1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50"/>
      <c r="AG140" s="51"/>
      <c r="AH140" s="52"/>
      <c r="AI140" s="52"/>
      <c r="AJ140" s="52"/>
      <c r="AK140" s="52"/>
      <c r="AL140" s="52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  <c r="BI140" s="54"/>
      <c r="BJ140" s="54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2"/>
      <c r="CJ140" s="52"/>
      <c r="CK140" s="52"/>
      <c r="CL140" s="52"/>
      <c r="CM140" s="52"/>
      <c r="CN140" s="52"/>
      <c r="CO140" s="52"/>
      <c r="CP140" s="51"/>
      <c r="CQ140" s="51"/>
      <c r="CR140" s="51"/>
      <c r="CS140" s="51"/>
      <c r="CT140" s="51"/>
    </row>
    <row r="141" ht="21.0" customHeight="1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50"/>
      <c r="AG141" s="51"/>
      <c r="AH141" s="52"/>
      <c r="AI141" s="52"/>
      <c r="AJ141" s="52"/>
      <c r="AK141" s="52"/>
      <c r="AL141" s="52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  <c r="BI141" s="54"/>
      <c r="BJ141" s="54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2"/>
      <c r="CJ141" s="52"/>
      <c r="CK141" s="52"/>
      <c r="CL141" s="52"/>
      <c r="CM141" s="52"/>
      <c r="CN141" s="52"/>
      <c r="CO141" s="52"/>
      <c r="CP141" s="51"/>
      <c r="CQ141" s="51"/>
      <c r="CR141" s="51"/>
      <c r="CS141" s="51"/>
      <c r="CT141" s="51"/>
    </row>
    <row r="142" ht="21.0" customHeight="1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50"/>
      <c r="AG142" s="51"/>
      <c r="AH142" s="52"/>
      <c r="AI142" s="52"/>
      <c r="AJ142" s="52"/>
      <c r="AK142" s="52"/>
      <c r="AL142" s="52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  <c r="BI142" s="54"/>
      <c r="BJ142" s="54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2"/>
      <c r="CJ142" s="52"/>
      <c r="CK142" s="52"/>
      <c r="CL142" s="52"/>
      <c r="CM142" s="52"/>
      <c r="CN142" s="52"/>
      <c r="CO142" s="52"/>
      <c r="CP142" s="51"/>
      <c r="CQ142" s="51"/>
      <c r="CR142" s="51"/>
      <c r="CS142" s="51"/>
      <c r="CT142" s="51"/>
    </row>
    <row r="143" ht="21.0" customHeight="1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50"/>
      <c r="AG143" s="51"/>
      <c r="AH143" s="52"/>
      <c r="AI143" s="52"/>
      <c r="AJ143" s="52"/>
      <c r="AK143" s="52"/>
      <c r="AL143" s="52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4"/>
      <c r="AX143" s="54"/>
      <c r="AY143" s="54"/>
      <c r="AZ143" s="54"/>
      <c r="BA143" s="54"/>
      <c r="BB143" s="54"/>
      <c r="BC143" s="54"/>
      <c r="BD143" s="54"/>
      <c r="BE143" s="54"/>
      <c r="BF143" s="54"/>
      <c r="BG143" s="54"/>
      <c r="BH143" s="54"/>
      <c r="BI143" s="54"/>
      <c r="BJ143" s="54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2"/>
      <c r="CJ143" s="52"/>
      <c r="CK143" s="52"/>
      <c r="CL143" s="52"/>
      <c r="CM143" s="52"/>
      <c r="CN143" s="52"/>
      <c r="CO143" s="52"/>
      <c r="CP143" s="51"/>
      <c r="CQ143" s="51"/>
      <c r="CR143" s="51"/>
      <c r="CS143" s="51"/>
      <c r="CT143" s="51"/>
    </row>
    <row r="144" ht="21.0" customHeight="1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50"/>
      <c r="AG144" s="51"/>
      <c r="AH144" s="52"/>
      <c r="AI144" s="52"/>
      <c r="AJ144" s="52"/>
      <c r="AK144" s="52"/>
      <c r="AL144" s="52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  <c r="BI144" s="54"/>
      <c r="BJ144" s="54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2"/>
      <c r="CJ144" s="52"/>
      <c r="CK144" s="52"/>
      <c r="CL144" s="52"/>
      <c r="CM144" s="52"/>
      <c r="CN144" s="52"/>
      <c r="CO144" s="52"/>
      <c r="CP144" s="51"/>
      <c r="CQ144" s="51"/>
      <c r="CR144" s="51"/>
      <c r="CS144" s="51"/>
      <c r="CT144" s="51"/>
    </row>
    <row r="145" ht="21.0" customHeight="1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50"/>
      <c r="AG145" s="51"/>
      <c r="AH145" s="52"/>
      <c r="AI145" s="52"/>
      <c r="AJ145" s="52"/>
      <c r="AK145" s="52"/>
      <c r="AL145" s="52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4"/>
      <c r="AX145" s="54"/>
      <c r="AY145" s="54"/>
      <c r="AZ145" s="54"/>
      <c r="BA145" s="54"/>
      <c r="BB145" s="54"/>
      <c r="BC145" s="54"/>
      <c r="BD145" s="54"/>
      <c r="BE145" s="54"/>
      <c r="BF145" s="54"/>
      <c r="BG145" s="54"/>
      <c r="BH145" s="54"/>
      <c r="BI145" s="54"/>
      <c r="BJ145" s="54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2"/>
      <c r="CJ145" s="52"/>
      <c r="CK145" s="52"/>
      <c r="CL145" s="52"/>
      <c r="CM145" s="52"/>
      <c r="CN145" s="52"/>
      <c r="CO145" s="52"/>
      <c r="CP145" s="51"/>
      <c r="CQ145" s="51"/>
      <c r="CR145" s="51"/>
      <c r="CS145" s="51"/>
      <c r="CT145" s="51"/>
    </row>
    <row r="146" ht="21.0" customHeight="1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50"/>
      <c r="AG146" s="51"/>
      <c r="AH146" s="52"/>
      <c r="AI146" s="52"/>
      <c r="AJ146" s="52"/>
      <c r="AK146" s="52"/>
      <c r="AL146" s="52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4"/>
      <c r="AX146" s="54"/>
      <c r="AY146" s="54"/>
      <c r="AZ146" s="54"/>
      <c r="BA146" s="54"/>
      <c r="BB146" s="54"/>
      <c r="BC146" s="54"/>
      <c r="BD146" s="54"/>
      <c r="BE146" s="54"/>
      <c r="BF146" s="54"/>
      <c r="BG146" s="54"/>
      <c r="BH146" s="54"/>
      <c r="BI146" s="54"/>
      <c r="BJ146" s="54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2"/>
      <c r="CJ146" s="52"/>
      <c r="CK146" s="52"/>
      <c r="CL146" s="52"/>
      <c r="CM146" s="52"/>
      <c r="CN146" s="52"/>
      <c r="CO146" s="52"/>
      <c r="CP146" s="51"/>
      <c r="CQ146" s="51"/>
      <c r="CR146" s="51"/>
      <c r="CS146" s="51"/>
      <c r="CT146" s="51"/>
    </row>
    <row r="147" ht="21.0" customHeight="1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50"/>
      <c r="AG147" s="51"/>
      <c r="AH147" s="52"/>
      <c r="AI147" s="52"/>
      <c r="AJ147" s="52"/>
      <c r="AK147" s="52"/>
      <c r="AL147" s="52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4"/>
      <c r="AX147" s="54"/>
      <c r="AY147" s="54"/>
      <c r="AZ147" s="54"/>
      <c r="BA147" s="54"/>
      <c r="BB147" s="54"/>
      <c r="BC147" s="54"/>
      <c r="BD147" s="54"/>
      <c r="BE147" s="54"/>
      <c r="BF147" s="54"/>
      <c r="BG147" s="54"/>
      <c r="BH147" s="54"/>
      <c r="BI147" s="54"/>
      <c r="BJ147" s="54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2"/>
      <c r="CJ147" s="52"/>
      <c r="CK147" s="52"/>
      <c r="CL147" s="52"/>
      <c r="CM147" s="52"/>
      <c r="CN147" s="52"/>
      <c r="CO147" s="52"/>
      <c r="CP147" s="51"/>
      <c r="CQ147" s="51"/>
      <c r="CR147" s="51"/>
      <c r="CS147" s="51"/>
      <c r="CT147" s="51"/>
    </row>
    <row r="148" ht="21.0" customHeight="1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50"/>
      <c r="AG148" s="51"/>
      <c r="AH148" s="52"/>
      <c r="AI148" s="52"/>
      <c r="AJ148" s="52"/>
      <c r="AK148" s="52"/>
      <c r="AL148" s="52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4"/>
      <c r="AX148" s="54"/>
      <c r="AY148" s="54"/>
      <c r="AZ148" s="54"/>
      <c r="BA148" s="54"/>
      <c r="BB148" s="54"/>
      <c r="BC148" s="54"/>
      <c r="BD148" s="54"/>
      <c r="BE148" s="54"/>
      <c r="BF148" s="54"/>
      <c r="BG148" s="54"/>
      <c r="BH148" s="54"/>
      <c r="BI148" s="54"/>
      <c r="BJ148" s="54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2"/>
      <c r="CJ148" s="52"/>
      <c r="CK148" s="52"/>
      <c r="CL148" s="52"/>
      <c r="CM148" s="52"/>
      <c r="CN148" s="52"/>
      <c r="CO148" s="52"/>
      <c r="CP148" s="51"/>
      <c r="CQ148" s="51"/>
      <c r="CR148" s="51"/>
      <c r="CS148" s="51"/>
      <c r="CT148" s="51"/>
    </row>
    <row r="149" ht="21.0" customHeight="1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50"/>
      <c r="AG149" s="51"/>
      <c r="AH149" s="52"/>
      <c r="AI149" s="52"/>
      <c r="AJ149" s="52"/>
      <c r="AK149" s="52"/>
      <c r="AL149" s="52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4"/>
      <c r="AX149" s="54"/>
      <c r="AY149" s="54"/>
      <c r="AZ149" s="54"/>
      <c r="BA149" s="54"/>
      <c r="BB149" s="54"/>
      <c r="BC149" s="54"/>
      <c r="BD149" s="54"/>
      <c r="BE149" s="54"/>
      <c r="BF149" s="54"/>
      <c r="BG149" s="54"/>
      <c r="BH149" s="54"/>
      <c r="BI149" s="54"/>
      <c r="BJ149" s="54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2"/>
      <c r="CJ149" s="52"/>
      <c r="CK149" s="52"/>
      <c r="CL149" s="52"/>
      <c r="CM149" s="52"/>
      <c r="CN149" s="52"/>
      <c r="CO149" s="52"/>
      <c r="CP149" s="51"/>
      <c r="CQ149" s="51"/>
      <c r="CR149" s="51"/>
      <c r="CS149" s="51"/>
      <c r="CT149" s="51"/>
    </row>
    <row r="150" ht="21.0" customHeight="1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50"/>
      <c r="AG150" s="51"/>
      <c r="AH150" s="52"/>
      <c r="AI150" s="52"/>
      <c r="AJ150" s="52"/>
      <c r="AK150" s="52"/>
      <c r="AL150" s="52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4"/>
      <c r="AX150" s="54"/>
      <c r="AY150" s="54"/>
      <c r="AZ150" s="54"/>
      <c r="BA150" s="54"/>
      <c r="BB150" s="54"/>
      <c r="BC150" s="54"/>
      <c r="BD150" s="54"/>
      <c r="BE150" s="54"/>
      <c r="BF150" s="54"/>
      <c r="BG150" s="54"/>
      <c r="BH150" s="54"/>
      <c r="BI150" s="54"/>
      <c r="BJ150" s="54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2"/>
      <c r="CJ150" s="52"/>
      <c r="CK150" s="52"/>
      <c r="CL150" s="52"/>
      <c r="CM150" s="52"/>
      <c r="CN150" s="52"/>
      <c r="CO150" s="52"/>
      <c r="CP150" s="51"/>
      <c r="CQ150" s="51"/>
      <c r="CR150" s="51"/>
      <c r="CS150" s="51"/>
      <c r="CT150" s="51"/>
    </row>
    <row r="151" ht="21.0" customHeight="1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50"/>
      <c r="AG151" s="51"/>
      <c r="AH151" s="52"/>
      <c r="AI151" s="52"/>
      <c r="AJ151" s="52"/>
      <c r="AK151" s="52"/>
      <c r="AL151" s="52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4"/>
      <c r="AX151" s="54"/>
      <c r="AY151" s="54"/>
      <c r="AZ151" s="54"/>
      <c r="BA151" s="54"/>
      <c r="BB151" s="54"/>
      <c r="BC151" s="54"/>
      <c r="BD151" s="54"/>
      <c r="BE151" s="54"/>
      <c r="BF151" s="54"/>
      <c r="BG151" s="54"/>
      <c r="BH151" s="54"/>
      <c r="BI151" s="54"/>
      <c r="BJ151" s="54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2"/>
      <c r="CJ151" s="52"/>
      <c r="CK151" s="52"/>
      <c r="CL151" s="52"/>
      <c r="CM151" s="52"/>
      <c r="CN151" s="52"/>
      <c r="CO151" s="52"/>
      <c r="CP151" s="51"/>
      <c r="CQ151" s="51"/>
      <c r="CR151" s="51"/>
      <c r="CS151" s="51"/>
      <c r="CT151" s="51"/>
    </row>
    <row r="152" ht="21.0" customHeight="1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50"/>
      <c r="AG152" s="51"/>
      <c r="AH152" s="52"/>
      <c r="AI152" s="52"/>
      <c r="AJ152" s="52"/>
      <c r="AK152" s="52"/>
      <c r="AL152" s="52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  <c r="BI152" s="54"/>
      <c r="BJ152" s="54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2"/>
      <c r="CJ152" s="52"/>
      <c r="CK152" s="52"/>
      <c r="CL152" s="52"/>
      <c r="CM152" s="52"/>
      <c r="CN152" s="52"/>
      <c r="CO152" s="52"/>
      <c r="CP152" s="51"/>
      <c r="CQ152" s="51"/>
      <c r="CR152" s="51"/>
      <c r="CS152" s="51"/>
      <c r="CT152" s="51"/>
    </row>
    <row r="153" ht="21.0" customHeight="1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50"/>
      <c r="AG153" s="51"/>
      <c r="AH153" s="52"/>
      <c r="AI153" s="52"/>
      <c r="AJ153" s="52"/>
      <c r="AK153" s="52"/>
      <c r="AL153" s="52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4"/>
      <c r="AX153" s="54"/>
      <c r="AY153" s="54"/>
      <c r="AZ153" s="54"/>
      <c r="BA153" s="54"/>
      <c r="BB153" s="54"/>
      <c r="BC153" s="54"/>
      <c r="BD153" s="54"/>
      <c r="BE153" s="54"/>
      <c r="BF153" s="54"/>
      <c r="BG153" s="54"/>
      <c r="BH153" s="54"/>
      <c r="BI153" s="54"/>
      <c r="BJ153" s="54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2"/>
      <c r="CJ153" s="52"/>
      <c r="CK153" s="52"/>
      <c r="CL153" s="52"/>
      <c r="CM153" s="52"/>
      <c r="CN153" s="52"/>
      <c r="CO153" s="52"/>
      <c r="CP153" s="51"/>
      <c r="CQ153" s="51"/>
      <c r="CR153" s="51"/>
      <c r="CS153" s="51"/>
      <c r="CT153" s="51"/>
    </row>
    <row r="154" ht="21.0" customHeight="1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50"/>
      <c r="AG154" s="51"/>
      <c r="AH154" s="52"/>
      <c r="AI154" s="52"/>
      <c r="AJ154" s="52"/>
      <c r="AK154" s="52"/>
      <c r="AL154" s="52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4"/>
      <c r="AX154" s="54"/>
      <c r="AY154" s="54"/>
      <c r="AZ154" s="54"/>
      <c r="BA154" s="54"/>
      <c r="BB154" s="54"/>
      <c r="BC154" s="54"/>
      <c r="BD154" s="54"/>
      <c r="BE154" s="54"/>
      <c r="BF154" s="54"/>
      <c r="BG154" s="54"/>
      <c r="BH154" s="54"/>
      <c r="BI154" s="54"/>
      <c r="BJ154" s="54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2"/>
      <c r="CJ154" s="52"/>
      <c r="CK154" s="52"/>
      <c r="CL154" s="52"/>
      <c r="CM154" s="52"/>
      <c r="CN154" s="52"/>
      <c r="CO154" s="52"/>
      <c r="CP154" s="51"/>
      <c r="CQ154" s="51"/>
      <c r="CR154" s="51"/>
      <c r="CS154" s="51"/>
      <c r="CT154" s="51"/>
    </row>
    <row r="155" ht="21.0" customHeight="1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50"/>
      <c r="AG155" s="51"/>
      <c r="AH155" s="52"/>
      <c r="AI155" s="52"/>
      <c r="AJ155" s="52"/>
      <c r="AK155" s="52"/>
      <c r="AL155" s="52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4"/>
      <c r="AX155" s="54"/>
      <c r="AY155" s="54"/>
      <c r="AZ155" s="54"/>
      <c r="BA155" s="54"/>
      <c r="BB155" s="54"/>
      <c r="BC155" s="54"/>
      <c r="BD155" s="54"/>
      <c r="BE155" s="54"/>
      <c r="BF155" s="54"/>
      <c r="BG155" s="54"/>
      <c r="BH155" s="54"/>
      <c r="BI155" s="54"/>
      <c r="BJ155" s="54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2"/>
      <c r="CJ155" s="52"/>
      <c r="CK155" s="52"/>
      <c r="CL155" s="52"/>
      <c r="CM155" s="52"/>
      <c r="CN155" s="52"/>
      <c r="CO155" s="52"/>
      <c r="CP155" s="51"/>
      <c r="CQ155" s="51"/>
      <c r="CR155" s="51"/>
      <c r="CS155" s="51"/>
      <c r="CT155" s="51"/>
    </row>
    <row r="156" ht="21.0" customHeight="1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50"/>
      <c r="AG156" s="51"/>
      <c r="AH156" s="52"/>
      <c r="AI156" s="52"/>
      <c r="AJ156" s="52"/>
      <c r="AK156" s="52"/>
      <c r="AL156" s="52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4"/>
      <c r="AX156" s="54"/>
      <c r="AY156" s="54"/>
      <c r="AZ156" s="54"/>
      <c r="BA156" s="54"/>
      <c r="BB156" s="54"/>
      <c r="BC156" s="54"/>
      <c r="BD156" s="54"/>
      <c r="BE156" s="54"/>
      <c r="BF156" s="54"/>
      <c r="BG156" s="54"/>
      <c r="BH156" s="54"/>
      <c r="BI156" s="54"/>
      <c r="BJ156" s="54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2"/>
      <c r="CJ156" s="52"/>
      <c r="CK156" s="52"/>
      <c r="CL156" s="52"/>
      <c r="CM156" s="52"/>
      <c r="CN156" s="52"/>
      <c r="CO156" s="52"/>
      <c r="CP156" s="51"/>
      <c r="CQ156" s="51"/>
      <c r="CR156" s="51"/>
      <c r="CS156" s="51"/>
      <c r="CT156" s="51"/>
    </row>
    <row r="157" ht="21.0" customHeight="1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50"/>
      <c r="AG157" s="51"/>
      <c r="AH157" s="52"/>
      <c r="AI157" s="52"/>
      <c r="AJ157" s="52"/>
      <c r="AK157" s="52"/>
      <c r="AL157" s="52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4"/>
      <c r="AX157" s="54"/>
      <c r="AY157" s="54"/>
      <c r="AZ157" s="54"/>
      <c r="BA157" s="54"/>
      <c r="BB157" s="54"/>
      <c r="BC157" s="54"/>
      <c r="BD157" s="54"/>
      <c r="BE157" s="54"/>
      <c r="BF157" s="54"/>
      <c r="BG157" s="54"/>
      <c r="BH157" s="54"/>
      <c r="BI157" s="54"/>
      <c r="BJ157" s="54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2"/>
      <c r="CJ157" s="52"/>
      <c r="CK157" s="52"/>
      <c r="CL157" s="52"/>
      <c r="CM157" s="52"/>
      <c r="CN157" s="52"/>
      <c r="CO157" s="52"/>
      <c r="CP157" s="51"/>
      <c r="CQ157" s="51"/>
      <c r="CR157" s="51"/>
      <c r="CS157" s="51"/>
      <c r="CT157" s="51"/>
    </row>
    <row r="158" ht="21.0" customHeight="1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50"/>
      <c r="AG158" s="51"/>
      <c r="AH158" s="52"/>
      <c r="AI158" s="52"/>
      <c r="AJ158" s="52"/>
      <c r="AK158" s="52"/>
      <c r="AL158" s="52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4"/>
      <c r="AX158" s="54"/>
      <c r="AY158" s="54"/>
      <c r="AZ158" s="54"/>
      <c r="BA158" s="54"/>
      <c r="BB158" s="54"/>
      <c r="BC158" s="54"/>
      <c r="BD158" s="54"/>
      <c r="BE158" s="54"/>
      <c r="BF158" s="54"/>
      <c r="BG158" s="54"/>
      <c r="BH158" s="54"/>
      <c r="BI158" s="54"/>
      <c r="BJ158" s="54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2"/>
      <c r="CJ158" s="52"/>
      <c r="CK158" s="52"/>
      <c r="CL158" s="52"/>
      <c r="CM158" s="52"/>
      <c r="CN158" s="52"/>
      <c r="CO158" s="52"/>
      <c r="CP158" s="51"/>
      <c r="CQ158" s="51"/>
      <c r="CR158" s="51"/>
      <c r="CS158" s="51"/>
      <c r="CT158" s="51"/>
    </row>
    <row r="159" ht="21.0" customHeight="1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50"/>
      <c r="AG159" s="51"/>
      <c r="AH159" s="52"/>
      <c r="AI159" s="52"/>
      <c r="AJ159" s="52"/>
      <c r="AK159" s="52"/>
      <c r="AL159" s="52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4"/>
      <c r="AX159" s="54"/>
      <c r="AY159" s="54"/>
      <c r="AZ159" s="54"/>
      <c r="BA159" s="54"/>
      <c r="BB159" s="54"/>
      <c r="BC159" s="54"/>
      <c r="BD159" s="54"/>
      <c r="BE159" s="54"/>
      <c r="BF159" s="54"/>
      <c r="BG159" s="54"/>
      <c r="BH159" s="54"/>
      <c r="BI159" s="54"/>
      <c r="BJ159" s="54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2"/>
      <c r="CJ159" s="52"/>
      <c r="CK159" s="52"/>
      <c r="CL159" s="52"/>
      <c r="CM159" s="52"/>
      <c r="CN159" s="52"/>
      <c r="CO159" s="52"/>
      <c r="CP159" s="51"/>
      <c r="CQ159" s="51"/>
      <c r="CR159" s="51"/>
      <c r="CS159" s="51"/>
      <c r="CT159" s="51"/>
    </row>
    <row r="160" ht="21.0" customHeight="1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50"/>
      <c r="AG160" s="51"/>
      <c r="AH160" s="52"/>
      <c r="AI160" s="52"/>
      <c r="AJ160" s="52"/>
      <c r="AK160" s="52"/>
      <c r="AL160" s="52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4"/>
      <c r="AX160" s="54"/>
      <c r="AY160" s="54"/>
      <c r="AZ160" s="54"/>
      <c r="BA160" s="54"/>
      <c r="BB160" s="54"/>
      <c r="BC160" s="54"/>
      <c r="BD160" s="54"/>
      <c r="BE160" s="54"/>
      <c r="BF160" s="54"/>
      <c r="BG160" s="54"/>
      <c r="BH160" s="54"/>
      <c r="BI160" s="54"/>
      <c r="BJ160" s="54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2"/>
      <c r="CJ160" s="52"/>
      <c r="CK160" s="52"/>
      <c r="CL160" s="52"/>
      <c r="CM160" s="52"/>
      <c r="CN160" s="52"/>
      <c r="CO160" s="52"/>
      <c r="CP160" s="51"/>
      <c r="CQ160" s="51"/>
      <c r="CR160" s="51"/>
      <c r="CS160" s="51"/>
      <c r="CT160" s="51"/>
    </row>
    <row r="161" ht="21.0" customHeight="1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50"/>
      <c r="AG161" s="51"/>
      <c r="AH161" s="52"/>
      <c r="AI161" s="52"/>
      <c r="AJ161" s="52"/>
      <c r="AK161" s="52"/>
      <c r="AL161" s="52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4"/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  <c r="BI161" s="54"/>
      <c r="BJ161" s="54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2"/>
      <c r="CJ161" s="52"/>
      <c r="CK161" s="52"/>
      <c r="CL161" s="52"/>
      <c r="CM161" s="52"/>
      <c r="CN161" s="52"/>
      <c r="CO161" s="52"/>
      <c r="CP161" s="51"/>
      <c r="CQ161" s="51"/>
      <c r="CR161" s="51"/>
      <c r="CS161" s="51"/>
      <c r="CT161" s="51"/>
    </row>
    <row r="162" ht="21.0" customHeight="1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50"/>
      <c r="AG162" s="51"/>
      <c r="AH162" s="52"/>
      <c r="AI162" s="52"/>
      <c r="AJ162" s="52"/>
      <c r="AK162" s="52"/>
      <c r="AL162" s="52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4"/>
      <c r="AX162" s="54"/>
      <c r="AY162" s="54"/>
      <c r="AZ162" s="54"/>
      <c r="BA162" s="54"/>
      <c r="BB162" s="54"/>
      <c r="BC162" s="54"/>
      <c r="BD162" s="54"/>
      <c r="BE162" s="54"/>
      <c r="BF162" s="54"/>
      <c r="BG162" s="54"/>
      <c r="BH162" s="54"/>
      <c r="BI162" s="54"/>
      <c r="BJ162" s="54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2"/>
      <c r="CJ162" s="52"/>
      <c r="CK162" s="52"/>
      <c r="CL162" s="52"/>
      <c r="CM162" s="52"/>
      <c r="CN162" s="52"/>
      <c r="CO162" s="52"/>
      <c r="CP162" s="51"/>
      <c r="CQ162" s="51"/>
      <c r="CR162" s="51"/>
      <c r="CS162" s="51"/>
      <c r="CT162" s="51"/>
    </row>
    <row r="163" ht="21.0" customHeight="1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50"/>
      <c r="AG163" s="51"/>
      <c r="AH163" s="52"/>
      <c r="AI163" s="52"/>
      <c r="AJ163" s="52"/>
      <c r="AK163" s="52"/>
      <c r="AL163" s="52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4"/>
      <c r="AX163" s="54"/>
      <c r="AY163" s="54"/>
      <c r="AZ163" s="54"/>
      <c r="BA163" s="54"/>
      <c r="BB163" s="54"/>
      <c r="BC163" s="54"/>
      <c r="BD163" s="54"/>
      <c r="BE163" s="54"/>
      <c r="BF163" s="54"/>
      <c r="BG163" s="54"/>
      <c r="BH163" s="54"/>
      <c r="BI163" s="54"/>
      <c r="BJ163" s="54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2"/>
      <c r="CJ163" s="52"/>
      <c r="CK163" s="52"/>
      <c r="CL163" s="52"/>
      <c r="CM163" s="52"/>
      <c r="CN163" s="52"/>
      <c r="CO163" s="52"/>
      <c r="CP163" s="51"/>
      <c r="CQ163" s="51"/>
      <c r="CR163" s="51"/>
      <c r="CS163" s="51"/>
      <c r="CT163" s="51"/>
    </row>
    <row r="164" ht="21.0" customHeight="1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50"/>
      <c r="AG164" s="51"/>
      <c r="AH164" s="52"/>
      <c r="AI164" s="52"/>
      <c r="AJ164" s="52"/>
      <c r="AK164" s="52"/>
      <c r="AL164" s="52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4"/>
      <c r="AX164" s="54"/>
      <c r="AY164" s="54"/>
      <c r="AZ164" s="54"/>
      <c r="BA164" s="54"/>
      <c r="BB164" s="54"/>
      <c r="BC164" s="54"/>
      <c r="BD164" s="54"/>
      <c r="BE164" s="54"/>
      <c r="BF164" s="54"/>
      <c r="BG164" s="54"/>
      <c r="BH164" s="54"/>
      <c r="BI164" s="54"/>
      <c r="BJ164" s="54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2"/>
      <c r="CJ164" s="52"/>
      <c r="CK164" s="52"/>
      <c r="CL164" s="52"/>
      <c r="CM164" s="52"/>
      <c r="CN164" s="52"/>
      <c r="CO164" s="52"/>
      <c r="CP164" s="51"/>
      <c r="CQ164" s="51"/>
      <c r="CR164" s="51"/>
      <c r="CS164" s="51"/>
      <c r="CT164" s="51"/>
    </row>
    <row r="165" ht="21.0" customHeight="1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50"/>
      <c r="AG165" s="51"/>
      <c r="AH165" s="52"/>
      <c r="AI165" s="52"/>
      <c r="AJ165" s="52"/>
      <c r="AK165" s="52"/>
      <c r="AL165" s="52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4"/>
      <c r="AX165" s="54"/>
      <c r="AY165" s="54"/>
      <c r="AZ165" s="54"/>
      <c r="BA165" s="54"/>
      <c r="BB165" s="54"/>
      <c r="BC165" s="54"/>
      <c r="BD165" s="54"/>
      <c r="BE165" s="54"/>
      <c r="BF165" s="54"/>
      <c r="BG165" s="54"/>
      <c r="BH165" s="54"/>
      <c r="BI165" s="54"/>
      <c r="BJ165" s="54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2"/>
      <c r="CJ165" s="52"/>
      <c r="CK165" s="52"/>
      <c r="CL165" s="52"/>
      <c r="CM165" s="52"/>
      <c r="CN165" s="52"/>
      <c r="CO165" s="52"/>
      <c r="CP165" s="51"/>
      <c r="CQ165" s="51"/>
      <c r="CR165" s="51"/>
      <c r="CS165" s="51"/>
      <c r="CT165" s="51"/>
    </row>
    <row r="166" ht="21.0" customHeight="1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50"/>
      <c r="AG166" s="51"/>
      <c r="AH166" s="52"/>
      <c r="AI166" s="52"/>
      <c r="AJ166" s="52"/>
      <c r="AK166" s="52"/>
      <c r="AL166" s="52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4"/>
      <c r="AX166" s="54"/>
      <c r="AY166" s="54"/>
      <c r="AZ166" s="54"/>
      <c r="BA166" s="54"/>
      <c r="BB166" s="54"/>
      <c r="BC166" s="54"/>
      <c r="BD166" s="54"/>
      <c r="BE166" s="54"/>
      <c r="BF166" s="54"/>
      <c r="BG166" s="54"/>
      <c r="BH166" s="54"/>
      <c r="BI166" s="54"/>
      <c r="BJ166" s="54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2"/>
      <c r="CJ166" s="52"/>
      <c r="CK166" s="52"/>
      <c r="CL166" s="52"/>
      <c r="CM166" s="52"/>
      <c r="CN166" s="52"/>
      <c r="CO166" s="52"/>
      <c r="CP166" s="51"/>
      <c r="CQ166" s="51"/>
      <c r="CR166" s="51"/>
      <c r="CS166" s="51"/>
      <c r="CT166" s="51"/>
    </row>
    <row r="167" ht="21.0" customHeight="1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50"/>
      <c r="AG167" s="51"/>
      <c r="AH167" s="52"/>
      <c r="AI167" s="52"/>
      <c r="AJ167" s="52"/>
      <c r="AK167" s="52"/>
      <c r="AL167" s="52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4"/>
      <c r="AX167" s="54"/>
      <c r="AY167" s="54"/>
      <c r="AZ167" s="54"/>
      <c r="BA167" s="54"/>
      <c r="BB167" s="54"/>
      <c r="BC167" s="54"/>
      <c r="BD167" s="54"/>
      <c r="BE167" s="54"/>
      <c r="BF167" s="54"/>
      <c r="BG167" s="54"/>
      <c r="BH167" s="54"/>
      <c r="BI167" s="54"/>
      <c r="BJ167" s="54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2"/>
      <c r="CJ167" s="52"/>
      <c r="CK167" s="52"/>
      <c r="CL167" s="52"/>
      <c r="CM167" s="52"/>
      <c r="CN167" s="52"/>
      <c r="CO167" s="52"/>
      <c r="CP167" s="51"/>
      <c r="CQ167" s="51"/>
      <c r="CR167" s="51"/>
      <c r="CS167" s="51"/>
      <c r="CT167" s="51"/>
    </row>
    <row r="168" ht="21.0" customHeight="1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50"/>
      <c r="AG168" s="51"/>
      <c r="AH168" s="52"/>
      <c r="AI168" s="52"/>
      <c r="AJ168" s="52"/>
      <c r="AK168" s="52"/>
      <c r="AL168" s="52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  <c r="BI168" s="54"/>
      <c r="BJ168" s="54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2"/>
      <c r="CJ168" s="52"/>
      <c r="CK168" s="52"/>
      <c r="CL168" s="52"/>
      <c r="CM168" s="52"/>
      <c r="CN168" s="52"/>
      <c r="CO168" s="52"/>
      <c r="CP168" s="51"/>
      <c r="CQ168" s="51"/>
      <c r="CR168" s="51"/>
      <c r="CS168" s="51"/>
      <c r="CT168" s="51"/>
    </row>
    <row r="169" ht="21.0" customHeight="1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50"/>
      <c r="AG169" s="51"/>
      <c r="AH169" s="52"/>
      <c r="AI169" s="52"/>
      <c r="AJ169" s="52"/>
      <c r="AK169" s="52"/>
      <c r="AL169" s="52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4"/>
      <c r="AX169" s="54"/>
      <c r="AY169" s="54"/>
      <c r="AZ169" s="54"/>
      <c r="BA169" s="54"/>
      <c r="BB169" s="54"/>
      <c r="BC169" s="54"/>
      <c r="BD169" s="54"/>
      <c r="BE169" s="54"/>
      <c r="BF169" s="54"/>
      <c r="BG169" s="54"/>
      <c r="BH169" s="54"/>
      <c r="BI169" s="54"/>
      <c r="BJ169" s="54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2"/>
      <c r="CJ169" s="52"/>
      <c r="CK169" s="52"/>
      <c r="CL169" s="52"/>
      <c r="CM169" s="52"/>
      <c r="CN169" s="52"/>
      <c r="CO169" s="52"/>
      <c r="CP169" s="51"/>
      <c r="CQ169" s="51"/>
      <c r="CR169" s="51"/>
      <c r="CS169" s="51"/>
      <c r="CT169" s="51"/>
    </row>
    <row r="170" ht="21.0" customHeight="1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50"/>
      <c r="AG170" s="51"/>
      <c r="AH170" s="52"/>
      <c r="AI170" s="52"/>
      <c r="AJ170" s="52"/>
      <c r="AK170" s="52"/>
      <c r="AL170" s="52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4"/>
      <c r="AX170" s="54"/>
      <c r="AY170" s="54"/>
      <c r="AZ170" s="54"/>
      <c r="BA170" s="54"/>
      <c r="BB170" s="54"/>
      <c r="BC170" s="54"/>
      <c r="BD170" s="54"/>
      <c r="BE170" s="54"/>
      <c r="BF170" s="54"/>
      <c r="BG170" s="54"/>
      <c r="BH170" s="54"/>
      <c r="BI170" s="54"/>
      <c r="BJ170" s="54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2"/>
      <c r="CJ170" s="52"/>
      <c r="CK170" s="52"/>
      <c r="CL170" s="52"/>
      <c r="CM170" s="52"/>
      <c r="CN170" s="52"/>
      <c r="CO170" s="52"/>
      <c r="CP170" s="51"/>
      <c r="CQ170" s="51"/>
      <c r="CR170" s="51"/>
      <c r="CS170" s="51"/>
      <c r="CT170" s="51"/>
    </row>
    <row r="171" ht="21.0" customHeight="1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50"/>
      <c r="AG171" s="51"/>
      <c r="AH171" s="52"/>
      <c r="AI171" s="52"/>
      <c r="AJ171" s="52"/>
      <c r="AK171" s="52"/>
      <c r="AL171" s="52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4"/>
      <c r="AX171" s="54"/>
      <c r="AY171" s="54"/>
      <c r="AZ171" s="54"/>
      <c r="BA171" s="54"/>
      <c r="BB171" s="54"/>
      <c r="BC171" s="54"/>
      <c r="BD171" s="54"/>
      <c r="BE171" s="54"/>
      <c r="BF171" s="54"/>
      <c r="BG171" s="54"/>
      <c r="BH171" s="54"/>
      <c r="BI171" s="54"/>
      <c r="BJ171" s="54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2"/>
      <c r="CJ171" s="52"/>
      <c r="CK171" s="52"/>
      <c r="CL171" s="52"/>
      <c r="CM171" s="52"/>
      <c r="CN171" s="52"/>
      <c r="CO171" s="52"/>
      <c r="CP171" s="51"/>
      <c r="CQ171" s="51"/>
      <c r="CR171" s="51"/>
      <c r="CS171" s="51"/>
      <c r="CT171" s="51"/>
    </row>
    <row r="172" ht="21.0" customHeight="1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50"/>
      <c r="AG172" s="51"/>
      <c r="AH172" s="52"/>
      <c r="AI172" s="52"/>
      <c r="AJ172" s="52"/>
      <c r="AK172" s="52"/>
      <c r="AL172" s="52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4"/>
      <c r="AX172" s="54"/>
      <c r="AY172" s="54"/>
      <c r="AZ172" s="54"/>
      <c r="BA172" s="54"/>
      <c r="BB172" s="54"/>
      <c r="BC172" s="54"/>
      <c r="BD172" s="54"/>
      <c r="BE172" s="54"/>
      <c r="BF172" s="54"/>
      <c r="BG172" s="54"/>
      <c r="BH172" s="54"/>
      <c r="BI172" s="54"/>
      <c r="BJ172" s="54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2"/>
      <c r="CJ172" s="52"/>
      <c r="CK172" s="52"/>
      <c r="CL172" s="52"/>
      <c r="CM172" s="52"/>
      <c r="CN172" s="52"/>
      <c r="CO172" s="52"/>
      <c r="CP172" s="51"/>
      <c r="CQ172" s="51"/>
      <c r="CR172" s="51"/>
      <c r="CS172" s="51"/>
      <c r="CT172" s="51"/>
    </row>
    <row r="173" ht="21.0" customHeight="1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50"/>
      <c r="AG173" s="51"/>
      <c r="AH173" s="52"/>
      <c r="AI173" s="52"/>
      <c r="AJ173" s="52"/>
      <c r="AK173" s="52"/>
      <c r="AL173" s="52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4"/>
      <c r="AX173" s="54"/>
      <c r="AY173" s="54"/>
      <c r="AZ173" s="54"/>
      <c r="BA173" s="54"/>
      <c r="BB173" s="54"/>
      <c r="BC173" s="54"/>
      <c r="BD173" s="54"/>
      <c r="BE173" s="54"/>
      <c r="BF173" s="54"/>
      <c r="BG173" s="54"/>
      <c r="BH173" s="54"/>
      <c r="BI173" s="54"/>
      <c r="BJ173" s="54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2"/>
      <c r="CJ173" s="52"/>
      <c r="CK173" s="52"/>
      <c r="CL173" s="52"/>
      <c r="CM173" s="52"/>
      <c r="CN173" s="52"/>
      <c r="CO173" s="52"/>
      <c r="CP173" s="51"/>
      <c r="CQ173" s="51"/>
      <c r="CR173" s="51"/>
      <c r="CS173" s="51"/>
      <c r="CT173" s="51"/>
    </row>
    <row r="174" ht="21.0" customHeight="1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50"/>
      <c r="AG174" s="51"/>
      <c r="AH174" s="52"/>
      <c r="AI174" s="52"/>
      <c r="AJ174" s="52"/>
      <c r="AK174" s="52"/>
      <c r="AL174" s="52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4"/>
      <c r="AX174" s="54"/>
      <c r="AY174" s="54"/>
      <c r="AZ174" s="54"/>
      <c r="BA174" s="54"/>
      <c r="BB174" s="54"/>
      <c r="BC174" s="54"/>
      <c r="BD174" s="54"/>
      <c r="BE174" s="54"/>
      <c r="BF174" s="54"/>
      <c r="BG174" s="54"/>
      <c r="BH174" s="54"/>
      <c r="BI174" s="54"/>
      <c r="BJ174" s="54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2"/>
      <c r="CJ174" s="52"/>
      <c r="CK174" s="52"/>
      <c r="CL174" s="52"/>
      <c r="CM174" s="52"/>
      <c r="CN174" s="52"/>
      <c r="CO174" s="52"/>
      <c r="CP174" s="51"/>
      <c r="CQ174" s="51"/>
      <c r="CR174" s="51"/>
      <c r="CS174" s="51"/>
      <c r="CT174" s="51"/>
    </row>
    <row r="175" ht="21.0" customHeight="1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50"/>
      <c r="AG175" s="51"/>
      <c r="AH175" s="52"/>
      <c r="AI175" s="52"/>
      <c r="AJ175" s="52"/>
      <c r="AK175" s="52"/>
      <c r="AL175" s="52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4"/>
      <c r="AX175" s="54"/>
      <c r="AY175" s="54"/>
      <c r="AZ175" s="54"/>
      <c r="BA175" s="54"/>
      <c r="BB175" s="54"/>
      <c r="BC175" s="54"/>
      <c r="BD175" s="54"/>
      <c r="BE175" s="54"/>
      <c r="BF175" s="54"/>
      <c r="BG175" s="54"/>
      <c r="BH175" s="54"/>
      <c r="BI175" s="54"/>
      <c r="BJ175" s="54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2"/>
      <c r="CJ175" s="52"/>
      <c r="CK175" s="52"/>
      <c r="CL175" s="52"/>
      <c r="CM175" s="52"/>
      <c r="CN175" s="52"/>
      <c r="CO175" s="52"/>
      <c r="CP175" s="51"/>
      <c r="CQ175" s="51"/>
      <c r="CR175" s="51"/>
      <c r="CS175" s="51"/>
      <c r="CT175" s="51"/>
    </row>
    <row r="176" ht="21.0" customHeight="1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50"/>
      <c r="AG176" s="51"/>
      <c r="AH176" s="52"/>
      <c r="AI176" s="52"/>
      <c r="AJ176" s="52"/>
      <c r="AK176" s="52"/>
      <c r="AL176" s="52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4"/>
      <c r="AX176" s="54"/>
      <c r="AY176" s="54"/>
      <c r="AZ176" s="54"/>
      <c r="BA176" s="54"/>
      <c r="BB176" s="54"/>
      <c r="BC176" s="54"/>
      <c r="BD176" s="54"/>
      <c r="BE176" s="54"/>
      <c r="BF176" s="54"/>
      <c r="BG176" s="54"/>
      <c r="BH176" s="54"/>
      <c r="BI176" s="54"/>
      <c r="BJ176" s="54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2"/>
      <c r="CJ176" s="52"/>
      <c r="CK176" s="52"/>
      <c r="CL176" s="52"/>
      <c r="CM176" s="52"/>
      <c r="CN176" s="52"/>
      <c r="CO176" s="52"/>
      <c r="CP176" s="51"/>
      <c r="CQ176" s="51"/>
      <c r="CR176" s="51"/>
      <c r="CS176" s="51"/>
      <c r="CT176" s="51"/>
    </row>
    <row r="177" ht="21.0" customHeight="1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50"/>
      <c r="AG177" s="51"/>
      <c r="AH177" s="52"/>
      <c r="AI177" s="52"/>
      <c r="AJ177" s="52"/>
      <c r="AK177" s="52"/>
      <c r="AL177" s="52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4"/>
      <c r="AX177" s="54"/>
      <c r="AY177" s="54"/>
      <c r="AZ177" s="54"/>
      <c r="BA177" s="54"/>
      <c r="BB177" s="54"/>
      <c r="BC177" s="54"/>
      <c r="BD177" s="54"/>
      <c r="BE177" s="54"/>
      <c r="BF177" s="54"/>
      <c r="BG177" s="54"/>
      <c r="BH177" s="54"/>
      <c r="BI177" s="54"/>
      <c r="BJ177" s="54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2"/>
      <c r="CJ177" s="52"/>
      <c r="CK177" s="52"/>
      <c r="CL177" s="52"/>
      <c r="CM177" s="52"/>
      <c r="CN177" s="52"/>
      <c r="CO177" s="52"/>
      <c r="CP177" s="51"/>
      <c r="CQ177" s="51"/>
      <c r="CR177" s="51"/>
      <c r="CS177" s="51"/>
      <c r="CT177" s="51"/>
    </row>
    <row r="178" ht="21.0" customHeight="1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50"/>
      <c r="AG178" s="51"/>
      <c r="AH178" s="52"/>
      <c r="AI178" s="52"/>
      <c r="AJ178" s="52"/>
      <c r="AK178" s="52"/>
      <c r="AL178" s="52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4"/>
      <c r="AX178" s="54"/>
      <c r="AY178" s="54"/>
      <c r="AZ178" s="54"/>
      <c r="BA178" s="54"/>
      <c r="BB178" s="54"/>
      <c r="BC178" s="54"/>
      <c r="BD178" s="54"/>
      <c r="BE178" s="54"/>
      <c r="BF178" s="54"/>
      <c r="BG178" s="54"/>
      <c r="BH178" s="54"/>
      <c r="BI178" s="54"/>
      <c r="BJ178" s="54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2"/>
      <c r="CJ178" s="52"/>
      <c r="CK178" s="52"/>
      <c r="CL178" s="52"/>
      <c r="CM178" s="52"/>
      <c r="CN178" s="52"/>
      <c r="CO178" s="52"/>
      <c r="CP178" s="51"/>
      <c r="CQ178" s="51"/>
      <c r="CR178" s="51"/>
      <c r="CS178" s="51"/>
      <c r="CT178" s="51"/>
    </row>
    <row r="179" ht="21.0" customHeight="1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50"/>
      <c r="AG179" s="51"/>
      <c r="AH179" s="52"/>
      <c r="AI179" s="52"/>
      <c r="AJ179" s="52"/>
      <c r="AK179" s="52"/>
      <c r="AL179" s="52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4"/>
      <c r="AX179" s="54"/>
      <c r="AY179" s="54"/>
      <c r="AZ179" s="54"/>
      <c r="BA179" s="54"/>
      <c r="BB179" s="54"/>
      <c r="BC179" s="54"/>
      <c r="BD179" s="54"/>
      <c r="BE179" s="54"/>
      <c r="BF179" s="54"/>
      <c r="BG179" s="54"/>
      <c r="BH179" s="54"/>
      <c r="BI179" s="54"/>
      <c r="BJ179" s="54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2"/>
      <c r="CJ179" s="52"/>
      <c r="CK179" s="52"/>
      <c r="CL179" s="52"/>
      <c r="CM179" s="52"/>
      <c r="CN179" s="52"/>
      <c r="CO179" s="52"/>
      <c r="CP179" s="51"/>
      <c r="CQ179" s="51"/>
      <c r="CR179" s="51"/>
      <c r="CS179" s="51"/>
      <c r="CT179" s="51"/>
    </row>
    <row r="180" ht="21.0" customHeight="1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50"/>
      <c r="AG180" s="51"/>
      <c r="AH180" s="52"/>
      <c r="AI180" s="52"/>
      <c r="AJ180" s="52"/>
      <c r="AK180" s="52"/>
      <c r="AL180" s="52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4"/>
      <c r="AX180" s="54"/>
      <c r="AY180" s="54"/>
      <c r="AZ180" s="54"/>
      <c r="BA180" s="54"/>
      <c r="BB180" s="54"/>
      <c r="BC180" s="54"/>
      <c r="BD180" s="54"/>
      <c r="BE180" s="54"/>
      <c r="BF180" s="54"/>
      <c r="BG180" s="54"/>
      <c r="BH180" s="54"/>
      <c r="BI180" s="54"/>
      <c r="BJ180" s="54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2"/>
      <c r="CJ180" s="52"/>
      <c r="CK180" s="52"/>
      <c r="CL180" s="52"/>
      <c r="CM180" s="52"/>
      <c r="CN180" s="52"/>
      <c r="CO180" s="52"/>
      <c r="CP180" s="51"/>
      <c r="CQ180" s="51"/>
      <c r="CR180" s="51"/>
      <c r="CS180" s="51"/>
      <c r="CT180" s="51"/>
    </row>
    <row r="181" ht="21.0" customHeight="1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50"/>
      <c r="AG181" s="51"/>
      <c r="AH181" s="52"/>
      <c r="AI181" s="52"/>
      <c r="AJ181" s="52"/>
      <c r="AK181" s="52"/>
      <c r="AL181" s="52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4"/>
      <c r="AX181" s="54"/>
      <c r="AY181" s="54"/>
      <c r="AZ181" s="54"/>
      <c r="BA181" s="54"/>
      <c r="BB181" s="54"/>
      <c r="BC181" s="54"/>
      <c r="BD181" s="54"/>
      <c r="BE181" s="54"/>
      <c r="BF181" s="54"/>
      <c r="BG181" s="54"/>
      <c r="BH181" s="54"/>
      <c r="BI181" s="54"/>
      <c r="BJ181" s="54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2"/>
      <c r="CJ181" s="52"/>
      <c r="CK181" s="52"/>
      <c r="CL181" s="52"/>
      <c r="CM181" s="52"/>
      <c r="CN181" s="52"/>
      <c r="CO181" s="52"/>
      <c r="CP181" s="51"/>
      <c r="CQ181" s="51"/>
      <c r="CR181" s="51"/>
      <c r="CS181" s="51"/>
      <c r="CT181" s="51"/>
    </row>
    <row r="182" ht="21.0" customHeight="1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50"/>
      <c r="AG182" s="51"/>
      <c r="AH182" s="52"/>
      <c r="AI182" s="52"/>
      <c r="AJ182" s="52"/>
      <c r="AK182" s="52"/>
      <c r="AL182" s="52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4"/>
      <c r="AX182" s="54"/>
      <c r="AY182" s="54"/>
      <c r="AZ182" s="54"/>
      <c r="BA182" s="54"/>
      <c r="BB182" s="54"/>
      <c r="BC182" s="54"/>
      <c r="BD182" s="54"/>
      <c r="BE182" s="54"/>
      <c r="BF182" s="54"/>
      <c r="BG182" s="54"/>
      <c r="BH182" s="54"/>
      <c r="BI182" s="54"/>
      <c r="BJ182" s="54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2"/>
      <c r="CJ182" s="52"/>
      <c r="CK182" s="52"/>
      <c r="CL182" s="52"/>
      <c r="CM182" s="52"/>
      <c r="CN182" s="52"/>
      <c r="CO182" s="52"/>
      <c r="CP182" s="51"/>
      <c r="CQ182" s="51"/>
      <c r="CR182" s="51"/>
      <c r="CS182" s="51"/>
      <c r="CT182" s="51"/>
    </row>
    <row r="183" ht="21.0" customHeight="1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50"/>
      <c r="AG183" s="51"/>
      <c r="AH183" s="52"/>
      <c r="AI183" s="52"/>
      <c r="AJ183" s="52"/>
      <c r="AK183" s="52"/>
      <c r="AL183" s="52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4"/>
      <c r="AX183" s="54"/>
      <c r="AY183" s="54"/>
      <c r="AZ183" s="54"/>
      <c r="BA183" s="54"/>
      <c r="BB183" s="54"/>
      <c r="BC183" s="54"/>
      <c r="BD183" s="54"/>
      <c r="BE183" s="54"/>
      <c r="BF183" s="54"/>
      <c r="BG183" s="54"/>
      <c r="BH183" s="54"/>
      <c r="BI183" s="54"/>
      <c r="BJ183" s="54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2"/>
      <c r="CJ183" s="52"/>
      <c r="CK183" s="52"/>
      <c r="CL183" s="52"/>
      <c r="CM183" s="52"/>
      <c r="CN183" s="52"/>
      <c r="CO183" s="52"/>
      <c r="CP183" s="51"/>
      <c r="CQ183" s="51"/>
      <c r="CR183" s="51"/>
      <c r="CS183" s="51"/>
      <c r="CT183" s="51"/>
    </row>
    <row r="184" ht="21.0" customHeight="1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50"/>
      <c r="AG184" s="51"/>
      <c r="AH184" s="52"/>
      <c r="AI184" s="52"/>
      <c r="AJ184" s="52"/>
      <c r="AK184" s="52"/>
      <c r="AL184" s="52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4"/>
      <c r="AX184" s="54"/>
      <c r="AY184" s="54"/>
      <c r="AZ184" s="54"/>
      <c r="BA184" s="54"/>
      <c r="BB184" s="54"/>
      <c r="BC184" s="54"/>
      <c r="BD184" s="54"/>
      <c r="BE184" s="54"/>
      <c r="BF184" s="54"/>
      <c r="BG184" s="54"/>
      <c r="BH184" s="54"/>
      <c r="BI184" s="54"/>
      <c r="BJ184" s="54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2"/>
      <c r="CJ184" s="52"/>
      <c r="CK184" s="52"/>
      <c r="CL184" s="52"/>
      <c r="CM184" s="52"/>
      <c r="CN184" s="52"/>
      <c r="CO184" s="52"/>
      <c r="CP184" s="51"/>
      <c r="CQ184" s="51"/>
      <c r="CR184" s="51"/>
      <c r="CS184" s="51"/>
      <c r="CT184" s="51"/>
    </row>
    <row r="185" ht="21.0" customHeight="1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50"/>
      <c r="AG185" s="51"/>
      <c r="AH185" s="52"/>
      <c r="AI185" s="52"/>
      <c r="AJ185" s="52"/>
      <c r="AK185" s="52"/>
      <c r="AL185" s="52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4"/>
      <c r="AX185" s="54"/>
      <c r="AY185" s="54"/>
      <c r="AZ185" s="54"/>
      <c r="BA185" s="54"/>
      <c r="BB185" s="54"/>
      <c r="BC185" s="54"/>
      <c r="BD185" s="54"/>
      <c r="BE185" s="54"/>
      <c r="BF185" s="54"/>
      <c r="BG185" s="54"/>
      <c r="BH185" s="54"/>
      <c r="BI185" s="54"/>
      <c r="BJ185" s="54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2"/>
      <c r="CJ185" s="52"/>
      <c r="CK185" s="52"/>
      <c r="CL185" s="52"/>
      <c r="CM185" s="52"/>
      <c r="CN185" s="52"/>
      <c r="CO185" s="52"/>
      <c r="CP185" s="51"/>
      <c r="CQ185" s="51"/>
      <c r="CR185" s="51"/>
      <c r="CS185" s="51"/>
      <c r="CT185" s="51"/>
    </row>
    <row r="186" ht="21.0" customHeight="1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50"/>
      <c r="AG186" s="51"/>
      <c r="AH186" s="52"/>
      <c r="AI186" s="52"/>
      <c r="AJ186" s="52"/>
      <c r="AK186" s="52"/>
      <c r="AL186" s="52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4"/>
      <c r="AX186" s="54"/>
      <c r="AY186" s="54"/>
      <c r="AZ186" s="54"/>
      <c r="BA186" s="54"/>
      <c r="BB186" s="54"/>
      <c r="BC186" s="54"/>
      <c r="BD186" s="54"/>
      <c r="BE186" s="54"/>
      <c r="BF186" s="54"/>
      <c r="BG186" s="54"/>
      <c r="BH186" s="54"/>
      <c r="BI186" s="54"/>
      <c r="BJ186" s="54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2"/>
      <c r="CJ186" s="52"/>
      <c r="CK186" s="52"/>
      <c r="CL186" s="52"/>
      <c r="CM186" s="52"/>
      <c r="CN186" s="52"/>
      <c r="CO186" s="52"/>
      <c r="CP186" s="51"/>
      <c r="CQ186" s="51"/>
      <c r="CR186" s="51"/>
      <c r="CS186" s="51"/>
      <c r="CT186" s="51"/>
    </row>
    <row r="187" ht="21.0" customHeight="1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50"/>
      <c r="AG187" s="51"/>
      <c r="AH187" s="52"/>
      <c r="AI187" s="52"/>
      <c r="AJ187" s="52"/>
      <c r="AK187" s="52"/>
      <c r="AL187" s="52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4"/>
      <c r="AX187" s="54"/>
      <c r="AY187" s="54"/>
      <c r="AZ187" s="54"/>
      <c r="BA187" s="54"/>
      <c r="BB187" s="54"/>
      <c r="BC187" s="54"/>
      <c r="BD187" s="54"/>
      <c r="BE187" s="54"/>
      <c r="BF187" s="54"/>
      <c r="BG187" s="54"/>
      <c r="BH187" s="54"/>
      <c r="BI187" s="54"/>
      <c r="BJ187" s="54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2"/>
      <c r="CJ187" s="52"/>
      <c r="CK187" s="52"/>
      <c r="CL187" s="52"/>
      <c r="CM187" s="52"/>
      <c r="CN187" s="52"/>
      <c r="CO187" s="52"/>
      <c r="CP187" s="51"/>
      <c r="CQ187" s="51"/>
      <c r="CR187" s="51"/>
      <c r="CS187" s="51"/>
      <c r="CT187" s="51"/>
    </row>
    <row r="188" ht="21.0" customHeight="1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50"/>
      <c r="AG188" s="51"/>
      <c r="AH188" s="52"/>
      <c r="AI188" s="52"/>
      <c r="AJ188" s="52"/>
      <c r="AK188" s="52"/>
      <c r="AL188" s="52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4"/>
      <c r="AX188" s="54"/>
      <c r="AY188" s="54"/>
      <c r="AZ188" s="54"/>
      <c r="BA188" s="54"/>
      <c r="BB188" s="54"/>
      <c r="BC188" s="54"/>
      <c r="BD188" s="54"/>
      <c r="BE188" s="54"/>
      <c r="BF188" s="54"/>
      <c r="BG188" s="54"/>
      <c r="BH188" s="54"/>
      <c r="BI188" s="54"/>
      <c r="BJ188" s="54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2"/>
      <c r="CJ188" s="52"/>
      <c r="CK188" s="52"/>
      <c r="CL188" s="52"/>
      <c r="CM188" s="52"/>
      <c r="CN188" s="52"/>
      <c r="CO188" s="52"/>
      <c r="CP188" s="51"/>
      <c r="CQ188" s="51"/>
      <c r="CR188" s="51"/>
      <c r="CS188" s="51"/>
      <c r="CT188" s="51"/>
    </row>
    <row r="189" ht="21.0" customHeight="1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50"/>
      <c r="AG189" s="51"/>
      <c r="AH189" s="52"/>
      <c r="AI189" s="52"/>
      <c r="AJ189" s="52"/>
      <c r="AK189" s="52"/>
      <c r="AL189" s="52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4"/>
      <c r="AX189" s="54"/>
      <c r="AY189" s="54"/>
      <c r="AZ189" s="54"/>
      <c r="BA189" s="54"/>
      <c r="BB189" s="54"/>
      <c r="BC189" s="54"/>
      <c r="BD189" s="54"/>
      <c r="BE189" s="54"/>
      <c r="BF189" s="54"/>
      <c r="BG189" s="54"/>
      <c r="BH189" s="54"/>
      <c r="BI189" s="54"/>
      <c r="BJ189" s="54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2"/>
      <c r="CJ189" s="52"/>
      <c r="CK189" s="52"/>
      <c r="CL189" s="52"/>
      <c r="CM189" s="52"/>
      <c r="CN189" s="52"/>
      <c r="CO189" s="52"/>
      <c r="CP189" s="51"/>
      <c r="CQ189" s="51"/>
      <c r="CR189" s="51"/>
      <c r="CS189" s="51"/>
      <c r="CT189" s="51"/>
    </row>
    <row r="190" ht="21.0" customHeight="1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50"/>
      <c r="AG190" s="51"/>
      <c r="AH190" s="52"/>
      <c r="AI190" s="52"/>
      <c r="AJ190" s="52"/>
      <c r="AK190" s="52"/>
      <c r="AL190" s="52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4"/>
      <c r="AX190" s="54"/>
      <c r="AY190" s="54"/>
      <c r="AZ190" s="54"/>
      <c r="BA190" s="54"/>
      <c r="BB190" s="54"/>
      <c r="BC190" s="54"/>
      <c r="BD190" s="54"/>
      <c r="BE190" s="54"/>
      <c r="BF190" s="54"/>
      <c r="BG190" s="54"/>
      <c r="BH190" s="54"/>
      <c r="BI190" s="54"/>
      <c r="BJ190" s="54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2"/>
      <c r="CJ190" s="52"/>
      <c r="CK190" s="52"/>
      <c r="CL190" s="52"/>
      <c r="CM190" s="52"/>
      <c r="CN190" s="52"/>
      <c r="CO190" s="52"/>
      <c r="CP190" s="51"/>
      <c r="CQ190" s="51"/>
      <c r="CR190" s="51"/>
      <c r="CS190" s="51"/>
      <c r="CT190" s="51"/>
    </row>
    <row r="191" ht="21.0" customHeight="1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50"/>
      <c r="AG191" s="51"/>
      <c r="AH191" s="52"/>
      <c r="AI191" s="52"/>
      <c r="AJ191" s="52"/>
      <c r="AK191" s="52"/>
      <c r="AL191" s="52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4"/>
      <c r="AX191" s="54"/>
      <c r="AY191" s="54"/>
      <c r="AZ191" s="54"/>
      <c r="BA191" s="54"/>
      <c r="BB191" s="54"/>
      <c r="BC191" s="54"/>
      <c r="BD191" s="54"/>
      <c r="BE191" s="54"/>
      <c r="BF191" s="54"/>
      <c r="BG191" s="54"/>
      <c r="BH191" s="54"/>
      <c r="BI191" s="54"/>
      <c r="BJ191" s="54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2"/>
      <c r="CJ191" s="52"/>
      <c r="CK191" s="52"/>
      <c r="CL191" s="52"/>
      <c r="CM191" s="52"/>
      <c r="CN191" s="52"/>
      <c r="CO191" s="52"/>
      <c r="CP191" s="51"/>
      <c r="CQ191" s="51"/>
      <c r="CR191" s="51"/>
      <c r="CS191" s="51"/>
      <c r="CT191" s="51"/>
    </row>
    <row r="192" ht="21.0" customHeight="1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50"/>
      <c r="AG192" s="51"/>
      <c r="AH192" s="52"/>
      <c r="AI192" s="52"/>
      <c r="AJ192" s="52"/>
      <c r="AK192" s="52"/>
      <c r="AL192" s="52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4"/>
      <c r="AX192" s="54"/>
      <c r="AY192" s="54"/>
      <c r="AZ192" s="54"/>
      <c r="BA192" s="54"/>
      <c r="BB192" s="54"/>
      <c r="BC192" s="54"/>
      <c r="BD192" s="54"/>
      <c r="BE192" s="54"/>
      <c r="BF192" s="54"/>
      <c r="BG192" s="54"/>
      <c r="BH192" s="54"/>
      <c r="BI192" s="54"/>
      <c r="BJ192" s="54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2"/>
      <c r="CJ192" s="52"/>
      <c r="CK192" s="52"/>
      <c r="CL192" s="52"/>
      <c r="CM192" s="52"/>
      <c r="CN192" s="52"/>
      <c r="CO192" s="52"/>
      <c r="CP192" s="51"/>
      <c r="CQ192" s="51"/>
      <c r="CR192" s="51"/>
      <c r="CS192" s="51"/>
      <c r="CT192" s="51"/>
    </row>
    <row r="193" ht="21.0" customHeight="1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50"/>
      <c r="AG193" s="51"/>
      <c r="AH193" s="52"/>
      <c r="AI193" s="52"/>
      <c r="AJ193" s="52"/>
      <c r="AK193" s="52"/>
      <c r="AL193" s="52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4"/>
      <c r="AX193" s="54"/>
      <c r="AY193" s="54"/>
      <c r="AZ193" s="54"/>
      <c r="BA193" s="54"/>
      <c r="BB193" s="54"/>
      <c r="BC193" s="54"/>
      <c r="BD193" s="54"/>
      <c r="BE193" s="54"/>
      <c r="BF193" s="54"/>
      <c r="BG193" s="54"/>
      <c r="BH193" s="54"/>
      <c r="BI193" s="54"/>
      <c r="BJ193" s="54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2"/>
      <c r="CJ193" s="52"/>
      <c r="CK193" s="52"/>
      <c r="CL193" s="52"/>
      <c r="CM193" s="52"/>
      <c r="CN193" s="52"/>
      <c r="CO193" s="52"/>
      <c r="CP193" s="51"/>
      <c r="CQ193" s="51"/>
      <c r="CR193" s="51"/>
      <c r="CS193" s="51"/>
      <c r="CT193" s="51"/>
    </row>
    <row r="194" ht="21.0" customHeight="1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50"/>
      <c r="AG194" s="51"/>
      <c r="AH194" s="52"/>
      <c r="AI194" s="52"/>
      <c r="AJ194" s="52"/>
      <c r="AK194" s="52"/>
      <c r="AL194" s="52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4"/>
      <c r="AX194" s="54"/>
      <c r="AY194" s="54"/>
      <c r="AZ194" s="54"/>
      <c r="BA194" s="54"/>
      <c r="BB194" s="54"/>
      <c r="BC194" s="54"/>
      <c r="BD194" s="54"/>
      <c r="BE194" s="54"/>
      <c r="BF194" s="54"/>
      <c r="BG194" s="54"/>
      <c r="BH194" s="54"/>
      <c r="BI194" s="54"/>
      <c r="BJ194" s="54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2"/>
      <c r="CJ194" s="52"/>
      <c r="CK194" s="52"/>
      <c r="CL194" s="52"/>
      <c r="CM194" s="52"/>
      <c r="CN194" s="52"/>
      <c r="CO194" s="52"/>
      <c r="CP194" s="51"/>
      <c r="CQ194" s="51"/>
      <c r="CR194" s="51"/>
      <c r="CS194" s="51"/>
      <c r="CT194" s="51"/>
    </row>
    <row r="195" ht="21.0" customHeight="1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50"/>
      <c r="AG195" s="51"/>
      <c r="AH195" s="52"/>
      <c r="AI195" s="52"/>
      <c r="AJ195" s="52"/>
      <c r="AK195" s="52"/>
      <c r="AL195" s="52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4"/>
      <c r="AX195" s="54"/>
      <c r="AY195" s="54"/>
      <c r="AZ195" s="54"/>
      <c r="BA195" s="54"/>
      <c r="BB195" s="54"/>
      <c r="BC195" s="54"/>
      <c r="BD195" s="54"/>
      <c r="BE195" s="54"/>
      <c r="BF195" s="54"/>
      <c r="BG195" s="54"/>
      <c r="BH195" s="54"/>
      <c r="BI195" s="54"/>
      <c r="BJ195" s="54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2"/>
      <c r="CJ195" s="52"/>
      <c r="CK195" s="52"/>
      <c r="CL195" s="52"/>
      <c r="CM195" s="52"/>
      <c r="CN195" s="52"/>
      <c r="CO195" s="52"/>
      <c r="CP195" s="51"/>
      <c r="CQ195" s="51"/>
      <c r="CR195" s="51"/>
      <c r="CS195" s="51"/>
      <c r="CT195" s="51"/>
    </row>
    <row r="196" ht="21.0" customHeight="1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50"/>
      <c r="AG196" s="51"/>
      <c r="AH196" s="52"/>
      <c r="AI196" s="52"/>
      <c r="AJ196" s="52"/>
      <c r="AK196" s="52"/>
      <c r="AL196" s="52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4"/>
      <c r="AX196" s="54"/>
      <c r="AY196" s="54"/>
      <c r="AZ196" s="54"/>
      <c r="BA196" s="54"/>
      <c r="BB196" s="54"/>
      <c r="BC196" s="54"/>
      <c r="BD196" s="54"/>
      <c r="BE196" s="54"/>
      <c r="BF196" s="54"/>
      <c r="BG196" s="54"/>
      <c r="BH196" s="54"/>
      <c r="BI196" s="54"/>
      <c r="BJ196" s="54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2"/>
      <c r="CJ196" s="52"/>
      <c r="CK196" s="52"/>
      <c r="CL196" s="52"/>
      <c r="CM196" s="52"/>
      <c r="CN196" s="52"/>
      <c r="CO196" s="52"/>
      <c r="CP196" s="51"/>
      <c r="CQ196" s="51"/>
      <c r="CR196" s="51"/>
      <c r="CS196" s="51"/>
      <c r="CT196" s="51"/>
    </row>
    <row r="197" ht="21.0" customHeight="1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50"/>
      <c r="AG197" s="51"/>
      <c r="AH197" s="52"/>
      <c r="AI197" s="52"/>
      <c r="AJ197" s="52"/>
      <c r="AK197" s="52"/>
      <c r="AL197" s="52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4"/>
      <c r="AX197" s="54"/>
      <c r="AY197" s="54"/>
      <c r="AZ197" s="54"/>
      <c r="BA197" s="54"/>
      <c r="BB197" s="54"/>
      <c r="BC197" s="54"/>
      <c r="BD197" s="54"/>
      <c r="BE197" s="54"/>
      <c r="BF197" s="54"/>
      <c r="BG197" s="54"/>
      <c r="BH197" s="54"/>
      <c r="BI197" s="54"/>
      <c r="BJ197" s="54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2"/>
      <c r="CJ197" s="52"/>
      <c r="CK197" s="52"/>
      <c r="CL197" s="52"/>
      <c r="CM197" s="52"/>
      <c r="CN197" s="52"/>
      <c r="CO197" s="52"/>
      <c r="CP197" s="51"/>
      <c r="CQ197" s="51"/>
      <c r="CR197" s="51"/>
      <c r="CS197" s="51"/>
      <c r="CT197" s="51"/>
    </row>
    <row r="198" ht="21.0" customHeight="1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50"/>
      <c r="AG198" s="51"/>
      <c r="AH198" s="52"/>
      <c r="AI198" s="52"/>
      <c r="AJ198" s="52"/>
      <c r="AK198" s="52"/>
      <c r="AL198" s="52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4"/>
      <c r="AX198" s="54"/>
      <c r="AY198" s="54"/>
      <c r="AZ198" s="54"/>
      <c r="BA198" s="54"/>
      <c r="BB198" s="54"/>
      <c r="BC198" s="54"/>
      <c r="BD198" s="54"/>
      <c r="BE198" s="54"/>
      <c r="BF198" s="54"/>
      <c r="BG198" s="54"/>
      <c r="BH198" s="54"/>
      <c r="BI198" s="54"/>
      <c r="BJ198" s="54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2"/>
      <c r="CJ198" s="52"/>
      <c r="CK198" s="52"/>
      <c r="CL198" s="52"/>
      <c r="CM198" s="52"/>
      <c r="CN198" s="52"/>
      <c r="CO198" s="52"/>
      <c r="CP198" s="51"/>
      <c r="CQ198" s="51"/>
      <c r="CR198" s="51"/>
      <c r="CS198" s="51"/>
      <c r="CT198" s="51"/>
    </row>
    <row r="199" ht="21.0" customHeight="1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50"/>
      <c r="AG199" s="51"/>
      <c r="AH199" s="52"/>
      <c r="AI199" s="52"/>
      <c r="AJ199" s="52"/>
      <c r="AK199" s="52"/>
      <c r="AL199" s="52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4"/>
      <c r="AX199" s="54"/>
      <c r="AY199" s="54"/>
      <c r="AZ199" s="54"/>
      <c r="BA199" s="54"/>
      <c r="BB199" s="54"/>
      <c r="BC199" s="54"/>
      <c r="BD199" s="54"/>
      <c r="BE199" s="54"/>
      <c r="BF199" s="54"/>
      <c r="BG199" s="54"/>
      <c r="BH199" s="54"/>
      <c r="BI199" s="54"/>
      <c r="BJ199" s="54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2"/>
      <c r="CJ199" s="52"/>
      <c r="CK199" s="52"/>
      <c r="CL199" s="52"/>
      <c r="CM199" s="52"/>
      <c r="CN199" s="52"/>
      <c r="CO199" s="52"/>
      <c r="CP199" s="51"/>
      <c r="CQ199" s="51"/>
      <c r="CR199" s="51"/>
      <c r="CS199" s="51"/>
      <c r="CT199" s="51"/>
    </row>
    <row r="200" ht="21.0" customHeight="1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50"/>
      <c r="AG200" s="51"/>
      <c r="AH200" s="52"/>
      <c r="AI200" s="52"/>
      <c r="AJ200" s="52"/>
      <c r="AK200" s="52"/>
      <c r="AL200" s="52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4"/>
      <c r="AX200" s="54"/>
      <c r="AY200" s="54"/>
      <c r="AZ200" s="54"/>
      <c r="BA200" s="54"/>
      <c r="BB200" s="54"/>
      <c r="BC200" s="54"/>
      <c r="BD200" s="54"/>
      <c r="BE200" s="54"/>
      <c r="BF200" s="54"/>
      <c r="BG200" s="54"/>
      <c r="BH200" s="54"/>
      <c r="BI200" s="54"/>
      <c r="BJ200" s="54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2"/>
      <c r="CJ200" s="52"/>
      <c r="CK200" s="52"/>
      <c r="CL200" s="52"/>
      <c r="CM200" s="52"/>
      <c r="CN200" s="52"/>
      <c r="CO200" s="52"/>
      <c r="CP200" s="51"/>
      <c r="CQ200" s="51"/>
      <c r="CR200" s="51"/>
      <c r="CS200" s="51"/>
      <c r="CT200" s="51"/>
    </row>
    <row r="201" ht="21.0" customHeight="1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50"/>
      <c r="AG201" s="51"/>
      <c r="AH201" s="52"/>
      <c r="AI201" s="52"/>
      <c r="AJ201" s="52"/>
      <c r="AK201" s="52"/>
      <c r="AL201" s="52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4"/>
      <c r="AX201" s="54"/>
      <c r="AY201" s="54"/>
      <c r="AZ201" s="54"/>
      <c r="BA201" s="54"/>
      <c r="BB201" s="54"/>
      <c r="BC201" s="54"/>
      <c r="BD201" s="54"/>
      <c r="BE201" s="54"/>
      <c r="BF201" s="54"/>
      <c r="BG201" s="54"/>
      <c r="BH201" s="54"/>
      <c r="BI201" s="54"/>
      <c r="BJ201" s="54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2"/>
      <c r="CJ201" s="52"/>
      <c r="CK201" s="52"/>
      <c r="CL201" s="52"/>
      <c r="CM201" s="52"/>
      <c r="CN201" s="52"/>
      <c r="CO201" s="52"/>
      <c r="CP201" s="51"/>
      <c r="CQ201" s="51"/>
      <c r="CR201" s="51"/>
      <c r="CS201" s="51"/>
      <c r="CT201" s="51"/>
    </row>
    <row r="202" ht="21.0" customHeight="1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50"/>
      <c r="AG202" s="51"/>
      <c r="AH202" s="52"/>
      <c r="AI202" s="52"/>
      <c r="AJ202" s="52"/>
      <c r="AK202" s="52"/>
      <c r="AL202" s="52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4"/>
      <c r="AX202" s="54"/>
      <c r="AY202" s="54"/>
      <c r="AZ202" s="54"/>
      <c r="BA202" s="54"/>
      <c r="BB202" s="54"/>
      <c r="BC202" s="54"/>
      <c r="BD202" s="54"/>
      <c r="BE202" s="54"/>
      <c r="BF202" s="54"/>
      <c r="BG202" s="54"/>
      <c r="BH202" s="54"/>
      <c r="BI202" s="54"/>
      <c r="BJ202" s="54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2"/>
      <c r="CJ202" s="52"/>
      <c r="CK202" s="52"/>
      <c r="CL202" s="52"/>
      <c r="CM202" s="52"/>
      <c r="CN202" s="52"/>
      <c r="CO202" s="52"/>
      <c r="CP202" s="51"/>
      <c r="CQ202" s="51"/>
      <c r="CR202" s="51"/>
      <c r="CS202" s="51"/>
      <c r="CT202" s="51"/>
    </row>
    <row r="203" ht="21.0" customHeight="1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50"/>
      <c r="AG203" s="51"/>
      <c r="AH203" s="52"/>
      <c r="AI203" s="52"/>
      <c r="AJ203" s="52"/>
      <c r="AK203" s="52"/>
      <c r="AL203" s="52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4"/>
      <c r="AX203" s="54"/>
      <c r="AY203" s="54"/>
      <c r="AZ203" s="54"/>
      <c r="BA203" s="54"/>
      <c r="BB203" s="54"/>
      <c r="BC203" s="54"/>
      <c r="BD203" s="54"/>
      <c r="BE203" s="54"/>
      <c r="BF203" s="54"/>
      <c r="BG203" s="54"/>
      <c r="BH203" s="54"/>
      <c r="BI203" s="54"/>
      <c r="BJ203" s="54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2"/>
      <c r="CJ203" s="52"/>
      <c r="CK203" s="52"/>
      <c r="CL203" s="52"/>
      <c r="CM203" s="52"/>
      <c r="CN203" s="52"/>
      <c r="CO203" s="52"/>
      <c r="CP203" s="51"/>
      <c r="CQ203" s="51"/>
      <c r="CR203" s="51"/>
      <c r="CS203" s="51"/>
      <c r="CT203" s="51"/>
    </row>
    <row r="204" ht="21.0" customHeight="1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50"/>
      <c r="AG204" s="51"/>
      <c r="AH204" s="52"/>
      <c r="AI204" s="52"/>
      <c r="AJ204" s="52"/>
      <c r="AK204" s="52"/>
      <c r="AL204" s="52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4"/>
      <c r="AX204" s="54"/>
      <c r="AY204" s="54"/>
      <c r="AZ204" s="54"/>
      <c r="BA204" s="54"/>
      <c r="BB204" s="54"/>
      <c r="BC204" s="54"/>
      <c r="BD204" s="54"/>
      <c r="BE204" s="54"/>
      <c r="BF204" s="54"/>
      <c r="BG204" s="54"/>
      <c r="BH204" s="54"/>
      <c r="BI204" s="54"/>
      <c r="BJ204" s="54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2"/>
      <c r="CJ204" s="52"/>
      <c r="CK204" s="52"/>
      <c r="CL204" s="52"/>
      <c r="CM204" s="52"/>
      <c r="CN204" s="52"/>
      <c r="CO204" s="52"/>
      <c r="CP204" s="51"/>
      <c r="CQ204" s="51"/>
      <c r="CR204" s="51"/>
      <c r="CS204" s="51"/>
      <c r="CT204" s="51"/>
    </row>
    <row r="205" ht="21.0" customHeight="1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50"/>
      <c r="AG205" s="51"/>
      <c r="AH205" s="52"/>
      <c r="AI205" s="52"/>
      <c r="AJ205" s="52"/>
      <c r="AK205" s="52"/>
      <c r="AL205" s="52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4"/>
      <c r="AX205" s="54"/>
      <c r="AY205" s="54"/>
      <c r="AZ205" s="54"/>
      <c r="BA205" s="54"/>
      <c r="BB205" s="54"/>
      <c r="BC205" s="54"/>
      <c r="BD205" s="54"/>
      <c r="BE205" s="54"/>
      <c r="BF205" s="54"/>
      <c r="BG205" s="54"/>
      <c r="BH205" s="54"/>
      <c r="BI205" s="54"/>
      <c r="BJ205" s="54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2"/>
      <c r="CJ205" s="52"/>
      <c r="CK205" s="52"/>
      <c r="CL205" s="52"/>
      <c r="CM205" s="52"/>
      <c r="CN205" s="52"/>
      <c r="CO205" s="52"/>
      <c r="CP205" s="51"/>
      <c r="CQ205" s="51"/>
      <c r="CR205" s="51"/>
      <c r="CS205" s="51"/>
      <c r="CT205" s="51"/>
    </row>
    <row r="206" ht="21.0" customHeight="1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50"/>
      <c r="AG206" s="51"/>
      <c r="AH206" s="52"/>
      <c r="AI206" s="52"/>
      <c r="AJ206" s="52"/>
      <c r="AK206" s="52"/>
      <c r="AL206" s="52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4"/>
      <c r="AX206" s="54"/>
      <c r="AY206" s="54"/>
      <c r="AZ206" s="54"/>
      <c r="BA206" s="54"/>
      <c r="BB206" s="54"/>
      <c r="BC206" s="54"/>
      <c r="BD206" s="54"/>
      <c r="BE206" s="54"/>
      <c r="BF206" s="54"/>
      <c r="BG206" s="54"/>
      <c r="BH206" s="54"/>
      <c r="BI206" s="54"/>
      <c r="BJ206" s="54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2"/>
      <c r="CJ206" s="52"/>
      <c r="CK206" s="52"/>
      <c r="CL206" s="52"/>
      <c r="CM206" s="52"/>
      <c r="CN206" s="52"/>
      <c r="CO206" s="52"/>
      <c r="CP206" s="51"/>
      <c r="CQ206" s="51"/>
      <c r="CR206" s="51"/>
      <c r="CS206" s="51"/>
      <c r="CT206" s="51"/>
    </row>
    <row r="207" ht="21.0" customHeight="1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50"/>
      <c r="AG207" s="51"/>
      <c r="AH207" s="52"/>
      <c r="AI207" s="52"/>
      <c r="AJ207" s="52"/>
      <c r="AK207" s="52"/>
      <c r="AL207" s="52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  <c r="BI207" s="54"/>
      <c r="BJ207" s="54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2"/>
      <c r="CJ207" s="52"/>
      <c r="CK207" s="52"/>
      <c r="CL207" s="52"/>
      <c r="CM207" s="52"/>
      <c r="CN207" s="52"/>
      <c r="CO207" s="52"/>
      <c r="CP207" s="51"/>
      <c r="CQ207" s="51"/>
      <c r="CR207" s="51"/>
      <c r="CS207" s="51"/>
      <c r="CT207" s="51"/>
    </row>
    <row r="208" ht="21.0" customHeight="1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50"/>
      <c r="AG208" s="51"/>
      <c r="AH208" s="52"/>
      <c r="AI208" s="52"/>
      <c r="AJ208" s="52"/>
      <c r="AK208" s="52"/>
      <c r="AL208" s="52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4"/>
      <c r="AX208" s="54"/>
      <c r="AY208" s="54"/>
      <c r="AZ208" s="54"/>
      <c r="BA208" s="54"/>
      <c r="BB208" s="54"/>
      <c r="BC208" s="54"/>
      <c r="BD208" s="54"/>
      <c r="BE208" s="54"/>
      <c r="BF208" s="54"/>
      <c r="BG208" s="54"/>
      <c r="BH208" s="54"/>
      <c r="BI208" s="54"/>
      <c r="BJ208" s="54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2"/>
      <c r="CJ208" s="52"/>
      <c r="CK208" s="52"/>
      <c r="CL208" s="52"/>
      <c r="CM208" s="52"/>
      <c r="CN208" s="52"/>
      <c r="CO208" s="52"/>
      <c r="CP208" s="51"/>
      <c r="CQ208" s="51"/>
      <c r="CR208" s="51"/>
      <c r="CS208" s="51"/>
      <c r="CT208" s="51"/>
    </row>
    <row r="209" ht="21.0" customHeight="1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50"/>
      <c r="AG209" s="51"/>
      <c r="AH209" s="52"/>
      <c r="AI209" s="52"/>
      <c r="AJ209" s="52"/>
      <c r="AK209" s="52"/>
      <c r="AL209" s="52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4"/>
      <c r="AX209" s="54"/>
      <c r="AY209" s="54"/>
      <c r="AZ209" s="54"/>
      <c r="BA209" s="54"/>
      <c r="BB209" s="54"/>
      <c r="BC209" s="54"/>
      <c r="BD209" s="54"/>
      <c r="BE209" s="54"/>
      <c r="BF209" s="54"/>
      <c r="BG209" s="54"/>
      <c r="BH209" s="54"/>
      <c r="BI209" s="54"/>
      <c r="BJ209" s="54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2"/>
      <c r="CJ209" s="52"/>
      <c r="CK209" s="52"/>
      <c r="CL209" s="52"/>
      <c r="CM209" s="52"/>
      <c r="CN209" s="52"/>
      <c r="CO209" s="52"/>
      <c r="CP209" s="51"/>
      <c r="CQ209" s="51"/>
      <c r="CR209" s="51"/>
      <c r="CS209" s="51"/>
      <c r="CT209" s="51"/>
    </row>
    <row r="210" ht="21.0" customHeight="1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50"/>
      <c r="AG210" s="51"/>
      <c r="AH210" s="52"/>
      <c r="AI210" s="52"/>
      <c r="AJ210" s="52"/>
      <c r="AK210" s="52"/>
      <c r="AL210" s="52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4"/>
      <c r="AX210" s="54"/>
      <c r="AY210" s="54"/>
      <c r="AZ210" s="54"/>
      <c r="BA210" s="54"/>
      <c r="BB210" s="54"/>
      <c r="BC210" s="54"/>
      <c r="BD210" s="54"/>
      <c r="BE210" s="54"/>
      <c r="BF210" s="54"/>
      <c r="BG210" s="54"/>
      <c r="BH210" s="54"/>
      <c r="BI210" s="54"/>
      <c r="BJ210" s="54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2"/>
      <c r="CJ210" s="52"/>
      <c r="CK210" s="52"/>
      <c r="CL210" s="52"/>
      <c r="CM210" s="52"/>
      <c r="CN210" s="52"/>
      <c r="CO210" s="52"/>
      <c r="CP210" s="51"/>
      <c r="CQ210" s="51"/>
      <c r="CR210" s="51"/>
      <c r="CS210" s="51"/>
      <c r="CT210" s="51"/>
    </row>
    <row r="211" ht="21.0" customHeight="1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50"/>
      <c r="AG211" s="51"/>
      <c r="AH211" s="52"/>
      <c r="AI211" s="52"/>
      <c r="AJ211" s="52"/>
      <c r="AK211" s="52"/>
      <c r="AL211" s="52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4"/>
      <c r="AX211" s="54"/>
      <c r="AY211" s="54"/>
      <c r="AZ211" s="54"/>
      <c r="BA211" s="54"/>
      <c r="BB211" s="54"/>
      <c r="BC211" s="54"/>
      <c r="BD211" s="54"/>
      <c r="BE211" s="54"/>
      <c r="BF211" s="54"/>
      <c r="BG211" s="54"/>
      <c r="BH211" s="54"/>
      <c r="BI211" s="54"/>
      <c r="BJ211" s="54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2"/>
      <c r="CJ211" s="52"/>
      <c r="CK211" s="52"/>
      <c r="CL211" s="52"/>
      <c r="CM211" s="52"/>
      <c r="CN211" s="52"/>
      <c r="CO211" s="52"/>
      <c r="CP211" s="51"/>
      <c r="CQ211" s="51"/>
      <c r="CR211" s="51"/>
      <c r="CS211" s="51"/>
      <c r="CT211" s="51"/>
    </row>
    <row r="212" ht="21.0" customHeight="1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50"/>
      <c r="AG212" s="51"/>
      <c r="AH212" s="52"/>
      <c r="AI212" s="52"/>
      <c r="AJ212" s="52"/>
      <c r="AK212" s="52"/>
      <c r="AL212" s="52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4"/>
      <c r="AX212" s="54"/>
      <c r="AY212" s="54"/>
      <c r="AZ212" s="54"/>
      <c r="BA212" s="54"/>
      <c r="BB212" s="54"/>
      <c r="BC212" s="54"/>
      <c r="BD212" s="54"/>
      <c r="BE212" s="54"/>
      <c r="BF212" s="54"/>
      <c r="BG212" s="54"/>
      <c r="BH212" s="54"/>
      <c r="BI212" s="54"/>
      <c r="BJ212" s="54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2"/>
      <c r="CJ212" s="52"/>
      <c r="CK212" s="52"/>
      <c r="CL212" s="52"/>
      <c r="CM212" s="52"/>
      <c r="CN212" s="52"/>
      <c r="CO212" s="52"/>
      <c r="CP212" s="51"/>
      <c r="CQ212" s="51"/>
      <c r="CR212" s="51"/>
      <c r="CS212" s="51"/>
      <c r="CT212" s="51"/>
    </row>
    <row r="213" ht="21.0" customHeight="1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50"/>
      <c r="AG213" s="51"/>
      <c r="AH213" s="52"/>
      <c r="AI213" s="52"/>
      <c r="AJ213" s="52"/>
      <c r="AK213" s="52"/>
      <c r="AL213" s="52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4"/>
      <c r="AX213" s="54"/>
      <c r="AY213" s="54"/>
      <c r="AZ213" s="54"/>
      <c r="BA213" s="54"/>
      <c r="BB213" s="54"/>
      <c r="BC213" s="54"/>
      <c r="BD213" s="54"/>
      <c r="BE213" s="54"/>
      <c r="BF213" s="54"/>
      <c r="BG213" s="54"/>
      <c r="BH213" s="54"/>
      <c r="BI213" s="54"/>
      <c r="BJ213" s="54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2"/>
      <c r="CJ213" s="52"/>
      <c r="CK213" s="52"/>
      <c r="CL213" s="52"/>
      <c r="CM213" s="52"/>
      <c r="CN213" s="52"/>
      <c r="CO213" s="52"/>
      <c r="CP213" s="51"/>
      <c r="CQ213" s="51"/>
      <c r="CR213" s="51"/>
      <c r="CS213" s="51"/>
      <c r="CT213" s="51"/>
    </row>
    <row r="214" ht="21.0" customHeight="1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50"/>
      <c r="AG214" s="51"/>
      <c r="AH214" s="52"/>
      <c r="AI214" s="52"/>
      <c r="AJ214" s="52"/>
      <c r="AK214" s="52"/>
      <c r="AL214" s="52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4"/>
      <c r="AX214" s="54"/>
      <c r="AY214" s="54"/>
      <c r="AZ214" s="54"/>
      <c r="BA214" s="54"/>
      <c r="BB214" s="54"/>
      <c r="BC214" s="54"/>
      <c r="BD214" s="54"/>
      <c r="BE214" s="54"/>
      <c r="BF214" s="54"/>
      <c r="BG214" s="54"/>
      <c r="BH214" s="54"/>
      <c r="BI214" s="54"/>
      <c r="BJ214" s="54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2"/>
      <c r="CJ214" s="52"/>
      <c r="CK214" s="52"/>
      <c r="CL214" s="52"/>
      <c r="CM214" s="52"/>
      <c r="CN214" s="52"/>
      <c r="CO214" s="52"/>
      <c r="CP214" s="51"/>
      <c r="CQ214" s="51"/>
      <c r="CR214" s="51"/>
      <c r="CS214" s="51"/>
      <c r="CT214" s="51"/>
    </row>
    <row r="215" ht="21.0" customHeight="1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50"/>
      <c r="AG215" s="51"/>
      <c r="AH215" s="52"/>
      <c r="AI215" s="52"/>
      <c r="AJ215" s="52"/>
      <c r="AK215" s="52"/>
      <c r="AL215" s="52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4"/>
      <c r="AX215" s="54"/>
      <c r="AY215" s="54"/>
      <c r="AZ215" s="54"/>
      <c r="BA215" s="54"/>
      <c r="BB215" s="54"/>
      <c r="BC215" s="54"/>
      <c r="BD215" s="54"/>
      <c r="BE215" s="54"/>
      <c r="BF215" s="54"/>
      <c r="BG215" s="54"/>
      <c r="BH215" s="54"/>
      <c r="BI215" s="54"/>
      <c r="BJ215" s="54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2"/>
      <c r="CJ215" s="52"/>
      <c r="CK215" s="52"/>
      <c r="CL215" s="52"/>
      <c r="CM215" s="52"/>
      <c r="CN215" s="52"/>
      <c r="CO215" s="52"/>
      <c r="CP215" s="51"/>
      <c r="CQ215" s="51"/>
      <c r="CR215" s="51"/>
      <c r="CS215" s="51"/>
      <c r="CT215" s="51"/>
    </row>
    <row r="216" ht="21.0" customHeight="1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50"/>
      <c r="AG216" s="51"/>
      <c r="AH216" s="52"/>
      <c r="AI216" s="52"/>
      <c r="AJ216" s="52"/>
      <c r="AK216" s="52"/>
      <c r="AL216" s="52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4"/>
      <c r="AX216" s="54"/>
      <c r="AY216" s="54"/>
      <c r="AZ216" s="54"/>
      <c r="BA216" s="54"/>
      <c r="BB216" s="54"/>
      <c r="BC216" s="54"/>
      <c r="BD216" s="54"/>
      <c r="BE216" s="54"/>
      <c r="BF216" s="54"/>
      <c r="BG216" s="54"/>
      <c r="BH216" s="54"/>
      <c r="BI216" s="54"/>
      <c r="BJ216" s="54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2"/>
      <c r="CJ216" s="52"/>
      <c r="CK216" s="52"/>
      <c r="CL216" s="52"/>
      <c r="CM216" s="52"/>
      <c r="CN216" s="52"/>
      <c r="CO216" s="52"/>
      <c r="CP216" s="51"/>
      <c r="CQ216" s="51"/>
      <c r="CR216" s="51"/>
      <c r="CS216" s="51"/>
      <c r="CT216" s="51"/>
    </row>
    <row r="217" ht="21.0" customHeight="1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50"/>
      <c r="AG217" s="51"/>
      <c r="AH217" s="52"/>
      <c r="AI217" s="52"/>
      <c r="AJ217" s="52"/>
      <c r="AK217" s="52"/>
      <c r="AL217" s="52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4"/>
      <c r="AX217" s="54"/>
      <c r="AY217" s="54"/>
      <c r="AZ217" s="54"/>
      <c r="BA217" s="54"/>
      <c r="BB217" s="54"/>
      <c r="BC217" s="54"/>
      <c r="BD217" s="54"/>
      <c r="BE217" s="54"/>
      <c r="BF217" s="54"/>
      <c r="BG217" s="54"/>
      <c r="BH217" s="54"/>
      <c r="BI217" s="54"/>
      <c r="BJ217" s="54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2"/>
      <c r="CJ217" s="52"/>
      <c r="CK217" s="52"/>
      <c r="CL217" s="52"/>
      <c r="CM217" s="52"/>
      <c r="CN217" s="52"/>
      <c r="CO217" s="52"/>
      <c r="CP217" s="51"/>
      <c r="CQ217" s="51"/>
      <c r="CR217" s="51"/>
      <c r="CS217" s="51"/>
      <c r="CT217" s="51"/>
    </row>
    <row r="218" ht="21.0" customHeight="1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50"/>
      <c r="AG218" s="51"/>
      <c r="AH218" s="52"/>
      <c r="AI218" s="52"/>
      <c r="AJ218" s="52"/>
      <c r="AK218" s="52"/>
      <c r="AL218" s="52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4"/>
      <c r="AX218" s="54"/>
      <c r="AY218" s="54"/>
      <c r="AZ218" s="54"/>
      <c r="BA218" s="54"/>
      <c r="BB218" s="54"/>
      <c r="BC218" s="54"/>
      <c r="BD218" s="54"/>
      <c r="BE218" s="54"/>
      <c r="BF218" s="54"/>
      <c r="BG218" s="54"/>
      <c r="BH218" s="54"/>
      <c r="BI218" s="54"/>
      <c r="BJ218" s="54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2"/>
      <c r="CJ218" s="52"/>
      <c r="CK218" s="52"/>
      <c r="CL218" s="52"/>
      <c r="CM218" s="52"/>
      <c r="CN218" s="52"/>
      <c r="CO218" s="52"/>
      <c r="CP218" s="51"/>
      <c r="CQ218" s="51"/>
      <c r="CR218" s="51"/>
      <c r="CS218" s="51"/>
      <c r="CT218" s="51"/>
    </row>
    <row r="219" ht="21.0" customHeight="1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50"/>
      <c r="AG219" s="51"/>
      <c r="AH219" s="52"/>
      <c r="AI219" s="52"/>
      <c r="AJ219" s="52"/>
      <c r="AK219" s="52"/>
      <c r="AL219" s="52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4"/>
      <c r="AX219" s="54"/>
      <c r="AY219" s="54"/>
      <c r="AZ219" s="54"/>
      <c r="BA219" s="54"/>
      <c r="BB219" s="54"/>
      <c r="BC219" s="54"/>
      <c r="BD219" s="54"/>
      <c r="BE219" s="54"/>
      <c r="BF219" s="54"/>
      <c r="BG219" s="54"/>
      <c r="BH219" s="54"/>
      <c r="BI219" s="54"/>
      <c r="BJ219" s="54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2"/>
      <c r="CJ219" s="52"/>
      <c r="CK219" s="52"/>
      <c r="CL219" s="52"/>
      <c r="CM219" s="52"/>
      <c r="CN219" s="52"/>
      <c r="CO219" s="52"/>
      <c r="CP219" s="51"/>
      <c r="CQ219" s="51"/>
      <c r="CR219" s="51"/>
      <c r="CS219" s="51"/>
      <c r="CT219" s="51"/>
    </row>
    <row r="220" ht="21.0" customHeight="1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50"/>
      <c r="AG220" s="51"/>
      <c r="AH220" s="52"/>
      <c r="AI220" s="52"/>
      <c r="AJ220" s="52"/>
      <c r="AK220" s="52"/>
      <c r="AL220" s="52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4"/>
      <c r="AX220" s="54"/>
      <c r="AY220" s="54"/>
      <c r="AZ220" s="54"/>
      <c r="BA220" s="54"/>
      <c r="BB220" s="54"/>
      <c r="BC220" s="54"/>
      <c r="BD220" s="54"/>
      <c r="BE220" s="54"/>
      <c r="BF220" s="54"/>
      <c r="BG220" s="54"/>
      <c r="BH220" s="54"/>
      <c r="BI220" s="54"/>
      <c r="BJ220" s="54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2"/>
      <c r="CJ220" s="52"/>
      <c r="CK220" s="52"/>
      <c r="CL220" s="52"/>
      <c r="CM220" s="52"/>
      <c r="CN220" s="52"/>
      <c r="CO220" s="52"/>
      <c r="CP220" s="51"/>
      <c r="CQ220" s="51"/>
      <c r="CR220" s="51"/>
      <c r="CS220" s="51"/>
      <c r="CT220" s="51"/>
    </row>
    <row r="221" ht="21.0" customHeight="1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50"/>
      <c r="AG221" s="51"/>
      <c r="AH221" s="52"/>
      <c r="AI221" s="52"/>
      <c r="AJ221" s="52"/>
      <c r="AK221" s="52"/>
      <c r="AL221" s="52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4"/>
      <c r="AX221" s="54"/>
      <c r="AY221" s="54"/>
      <c r="AZ221" s="54"/>
      <c r="BA221" s="54"/>
      <c r="BB221" s="54"/>
      <c r="BC221" s="54"/>
      <c r="BD221" s="54"/>
      <c r="BE221" s="54"/>
      <c r="BF221" s="54"/>
      <c r="BG221" s="54"/>
      <c r="BH221" s="54"/>
      <c r="BI221" s="54"/>
      <c r="BJ221" s="54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2"/>
      <c r="CJ221" s="52"/>
      <c r="CK221" s="52"/>
      <c r="CL221" s="52"/>
      <c r="CM221" s="52"/>
      <c r="CN221" s="52"/>
      <c r="CO221" s="52"/>
      <c r="CP221" s="51"/>
      <c r="CQ221" s="51"/>
      <c r="CR221" s="51"/>
      <c r="CS221" s="51"/>
      <c r="CT221" s="51"/>
    </row>
    <row r="222" ht="21.0" customHeight="1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50"/>
      <c r="AG222" s="51"/>
      <c r="AH222" s="52"/>
      <c r="AI222" s="52"/>
      <c r="AJ222" s="52"/>
      <c r="AK222" s="52"/>
      <c r="AL222" s="52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4"/>
      <c r="AX222" s="54"/>
      <c r="AY222" s="54"/>
      <c r="AZ222" s="54"/>
      <c r="BA222" s="54"/>
      <c r="BB222" s="54"/>
      <c r="BC222" s="54"/>
      <c r="BD222" s="54"/>
      <c r="BE222" s="54"/>
      <c r="BF222" s="54"/>
      <c r="BG222" s="54"/>
      <c r="BH222" s="54"/>
      <c r="BI222" s="54"/>
      <c r="BJ222" s="54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2"/>
      <c r="CJ222" s="52"/>
      <c r="CK222" s="52"/>
      <c r="CL222" s="52"/>
      <c r="CM222" s="52"/>
      <c r="CN222" s="52"/>
      <c r="CO222" s="52"/>
      <c r="CP222" s="51"/>
      <c r="CQ222" s="51"/>
      <c r="CR222" s="51"/>
      <c r="CS222" s="51"/>
      <c r="CT222" s="51"/>
    </row>
    <row r="223" ht="21.0" customHeight="1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50"/>
      <c r="AG223" s="51"/>
      <c r="AH223" s="52"/>
      <c r="AI223" s="52"/>
      <c r="AJ223" s="52"/>
      <c r="AK223" s="52"/>
      <c r="AL223" s="52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4"/>
      <c r="AX223" s="54"/>
      <c r="AY223" s="54"/>
      <c r="AZ223" s="54"/>
      <c r="BA223" s="54"/>
      <c r="BB223" s="54"/>
      <c r="BC223" s="54"/>
      <c r="BD223" s="54"/>
      <c r="BE223" s="54"/>
      <c r="BF223" s="54"/>
      <c r="BG223" s="54"/>
      <c r="BH223" s="54"/>
      <c r="BI223" s="54"/>
      <c r="BJ223" s="54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2"/>
      <c r="CJ223" s="52"/>
      <c r="CK223" s="52"/>
      <c r="CL223" s="52"/>
      <c r="CM223" s="52"/>
      <c r="CN223" s="52"/>
      <c r="CO223" s="52"/>
      <c r="CP223" s="51"/>
      <c r="CQ223" s="51"/>
      <c r="CR223" s="51"/>
      <c r="CS223" s="51"/>
      <c r="CT223" s="51"/>
    </row>
    <row r="224" ht="21.0" customHeight="1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50"/>
      <c r="AG224" s="51"/>
      <c r="AH224" s="52"/>
      <c r="AI224" s="52"/>
      <c r="AJ224" s="52"/>
      <c r="AK224" s="52"/>
      <c r="AL224" s="52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  <c r="BI224" s="54"/>
      <c r="BJ224" s="54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2"/>
      <c r="CJ224" s="52"/>
      <c r="CK224" s="52"/>
      <c r="CL224" s="52"/>
      <c r="CM224" s="52"/>
      <c r="CN224" s="52"/>
      <c r="CO224" s="52"/>
      <c r="CP224" s="51"/>
      <c r="CQ224" s="51"/>
      <c r="CR224" s="51"/>
      <c r="CS224" s="51"/>
      <c r="CT224" s="51"/>
    </row>
    <row r="225" ht="21.0" customHeight="1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50"/>
      <c r="AG225" s="51"/>
      <c r="AH225" s="52"/>
      <c r="AI225" s="52"/>
      <c r="AJ225" s="52"/>
      <c r="AK225" s="52"/>
      <c r="AL225" s="52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4"/>
      <c r="AX225" s="54"/>
      <c r="AY225" s="54"/>
      <c r="AZ225" s="54"/>
      <c r="BA225" s="54"/>
      <c r="BB225" s="54"/>
      <c r="BC225" s="54"/>
      <c r="BD225" s="54"/>
      <c r="BE225" s="54"/>
      <c r="BF225" s="54"/>
      <c r="BG225" s="54"/>
      <c r="BH225" s="54"/>
      <c r="BI225" s="54"/>
      <c r="BJ225" s="54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2"/>
      <c r="CJ225" s="52"/>
      <c r="CK225" s="52"/>
      <c r="CL225" s="52"/>
      <c r="CM225" s="52"/>
      <c r="CN225" s="52"/>
      <c r="CO225" s="52"/>
      <c r="CP225" s="51"/>
      <c r="CQ225" s="51"/>
      <c r="CR225" s="51"/>
      <c r="CS225" s="51"/>
      <c r="CT225" s="51"/>
    </row>
    <row r="226" ht="21.0" customHeight="1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50"/>
      <c r="AG226" s="51"/>
      <c r="AH226" s="52"/>
      <c r="AI226" s="52"/>
      <c r="AJ226" s="52"/>
      <c r="AK226" s="52"/>
      <c r="AL226" s="52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4"/>
      <c r="AX226" s="54"/>
      <c r="AY226" s="54"/>
      <c r="AZ226" s="54"/>
      <c r="BA226" s="54"/>
      <c r="BB226" s="54"/>
      <c r="BC226" s="54"/>
      <c r="BD226" s="54"/>
      <c r="BE226" s="54"/>
      <c r="BF226" s="54"/>
      <c r="BG226" s="54"/>
      <c r="BH226" s="54"/>
      <c r="BI226" s="54"/>
      <c r="BJ226" s="54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2"/>
      <c r="CJ226" s="52"/>
      <c r="CK226" s="52"/>
      <c r="CL226" s="52"/>
      <c r="CM226" s="52"/>
      <c r="CN226" s="52"/>
      <c r="CO226" s="52"/>
      <c r="CP226" s="51"/>
      <c r="CQ226" s="51"/>
      <c r="CR226" s="51"/>
      <c r="CS226" s="51"/>
      <c r="CT226" s="51"/>
    </row>
    <row r="227" ht="21.0" customHeight="1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50"/>
      <c r="AG227" s="51"/>
      <c r="AH227" s="52"/>
      <c r="AI227" s="52"/>
      <c r="AJ227" s="52"/>
      <c r="AK227" s="52"/>
      <c r="AL227" s="52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4"/>
      <c r="AX227" s="54"/>
      <c r="AY227" s="54"/>
      <c r="AZ227" s="54"/>
      <c r="BA227" s="54"/>
      <c r="BB227" s="54"/>
      <c r="BC227" s="54"/>
      <c r="BD227" s="54"/>
      <c r="BE227" s="54"/>
      <c r="BF227" s="54"/>
      <c r="BG227" s="54"/>
      <c r="BH227" s="54"/>
      <c r="BI227" s="54"/>
      <c r="BJ227" s="54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2"/>
      <c r="CJ227" s="52"/>
      <c r="CK227" s="52"/>
      <c r="CL227" s="52"/>
      <c r="CM227" s="52"/>
      <c r="CN227" s="52"/>
      <c r="CO227" s="52"/>
      <c r="CP227" s="51"/>
      <c r="CQ227" s="51"/>
      <c r="CR227" s="51"/>
      <c r="CS227" s="51"/>
      <c r="CT227" s="51"/>
    </row>
    <row r="228" ht="21.0" customHeight="1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50"/>
      <c r="AG228" s="51"/>
      <c r="AH228" s="52"/>
      <c r="AI228" s="52"/>
      <c r="AJ228" s="52"/>
      <c r="AK228" s="52"/>
      <c r="AL228" s="52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4"/>
      <c r="AX228" s="54"/>
      <c r="AY228" s="54"/>
      <c r="AZ228" s="54"/>
      <c r="BA228" s="54"/>
      <c r="BB228" s="54"/>
      <c r="BC228" s="54"/>
      <c r="BD228" s="54"/>
      <c r="BE228" s="54"/>
      <c r="BF228" s="54"/>
      <c r="BG228" s="54"/>
      <c r="BH228" s="54"/>
      <c r="BI228" s="54"/>
      <c r="BJ228" s="54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2"/>
      <c r="CJ228" s="52"/>
      <c r="CK228" s="52"/>
      <c r="CL228" s="52"/>
      <c r="CM228" s="52"/>
      <c r="CN228" s="52"/>
      <c r="CO228" s="52"/>
      <c r="CP228" s="51"/>
      <c r="CQ228" s="51"/>
      <c r="CR228" s="51"/>
      <c r="CS228" s="51"/>
      <c r="CT228" s="51"/>
    </row>
    <row r="229" ht="21.0" customHeight="1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50"/>
      <c r="AG229" s="51"/>
      <c r="AH229" s="52"/>
      <c r="AI229" s="52"/>
      <c r="AJ229" s="52"/>
      <c r="AK229" s="52"/>
      <c r="AL229" s="52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4"/>
      <c r="AX229" s="54"/>
      <c r="AY229" s="54"/>
      <c r="AZ229" s="54"/>
      <c r="BA229" s="54"/>
      <c r="BB229" s="54"/>
      <c r="BC229" s="54"/>
      <c r="BD229" s="54"/>
      <c r="BE229" s="54"/>
      <c r="BF229" s="54"/>
      <c r="BG229" s="54"/>
      <c r="BH229" s="54"/>
      <c r="BI229" s="54"/>
      <c r="BJ229" s="54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2"/>
      <c r="CJ229" s="52"/>
      <c r="CK229" s="52"/>
      <c r="CL229" s="52"/>
      <c r="CM229" s="52"/>
      <c r="CN229" s="52"/>
      <c r="CO229" s="52"/>
      <c r="CP229" s="51"/>
      <c r="CQ229" s="51"/>
      <c r="CR229" s="51"/>
      <c r="CS229" s="51"/>
      <c r="CT229" s="51"/>
    </row>
    <row r="230" ht="21.0" customHeight="1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50"/>
      <c r="AG230" s="51"/>
      <c r="AH230" s="52"/>
      <c r="AI230" s="52"/>
      <c r="AJ230" s="52"/>
      <c r="AK230" s="52"/>
      <c r="AL230" s="52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4"/>
      <c r="AX230" s="54"/>
      <c r="AY230" s="54"/>
      <c r="AZ230" s="54"/>
      <c r="BA230" s="54"/>
      <c r="BB230" s="54"/>
      <c r="BC230" s="54"/>
      <c r="BD230" s="54"/>
      <c r="BE230" s="54"/>
      <c r="BF230" s="54"/>
      <c r="BG230" s="54"/>
      <c r="BH230" s="54"/>
      <c r="BI230" s="54"/>
      <c r="BJ230" s="54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2"/>
      <c r="CJ230" s="52"/>
      <c r="CK230" s="52"/>
      <c r="CL230" s="52"/>
      <c r="CM230" s="52"/>
      <c r="CN230" s="52"/>
      <c r="CO230" s="52"/>
      <c r="CP230" s="51"/>
      <c r="CQ230" s="51"/>
      <c r="CR230" s="51"/>
      <c r="CS230" s="51"/>
      <c r="CT230" s="51"/>
    </row>
    <row r="231" ht="21.0" customHeight="1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50"/>
      <c r="AG231" s="51"/>
      <c r="AH231" s="52"/>
      <c r="AI231" s="52"/>
      <c r="AJ231" s="52"/>
      <c r="AK231" s="52"/>
      <c r="AL231" s="52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4"/>
      <c r="AX231" s="54"/>
      <c r="AY231" s="54"/>
      <c r="AZ231" s="54"/>
      <c r="BA231" s="54"/>
      <c r="BB231" s="54"/>
      <c r="BC231" s="54"/>
      <c r="BD231" s="54"/>
      <c r="BE231" s="54"/>
      <c r="BF231" s="54"/>
      <c r="BG231" s="54"/>
      <c r="BH231" s="54"/>
      <c r="BI231" s="54"/>
      <c r="BJ231" s="54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2"/>
      <c r="CJ231" s="52"/>
      <c r="CK231" s="52"/>
      <c r="CL231" s="52"/>
      <c r="CM231" s="52"/>
      <c r="CN231" s="52"/>
      <c r="CO231" s="52"/>
      <c r="CP231" s="51"/>
      <c r="CQ231" s="51"/>
      <c r="CR231" s="51"/>
      <c r="CS231" s="51"/>
      <c r="CT231" s="51"/>
    </row>
    <row r="232" ht="21.0" customHeight="1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50"/>
      <c r="AG232" s="51"/>
      <c r="AH232" s="52"/>
      <c r="AI232" s="52"/>
      <c r="AJ232" s="52"/>
      <c r="AK232" s="52"/>
      <c r="AL232" s="52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4"/>
      <c r="AX232" s="54"/>
      <c r="AY232" s="54"/>
      <c r="AZ232" s="54"/>
      <c r="BA232" s="54"/>
      <c r="BB232" s="54"/>
      <c r="BC232" s="54"/>
      <c r="BD232" s="54"/>
      <c r="BE232" s="54"/>
      <c r="BF232" s="54"/>
      <c r="BG232" s="54"/>
      <c r="BH232" s="54"/>
      <c r="BI232" s="54"/>
      <c r="BJ232" s="54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2"/>
      <c r="CJ232" s="52"/>
      <c r="CK232" s="52"/>
      <c r="CL232" s="52"/>
      <c r="CM232" s="52"/>
      <c r="CN232" s="52"/>
      <c r="CO232" s="52"/>
      <c r="CP232" s="51"/>
      <c r="CQ232" s="51"/>
      <c r="CR232" s="51"/>
      <c r="CS232" s="51"/>
      <c r="CT232" s="51"/>
    </row>
    <row r="233" ht="21.0" customHeight="1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50"/>
      <c r="AG233" s="51"/>
      <c r="AH233" s="52"/>
      <c r="AI233" s="52"/>
      <c r="AJ233" s="52"/>
      <c r="AK233" s="52"/>
      <c r="AL233" s="52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  <c r="BI233" s="54"/>
      <c r="BJ233" s="54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2"/>
      <c r="CJ233" s="52"/>
      <c r="CK233" s="52"/>
      <c r="CL233" s="52"/>
      <c r="CM233" s="52"/>
      <c r="CN233" s="52"/>
      <c r="CO233" s="52"/>
      <c r="CP233" s="51"/>
      <c r="CQ233" s="51"/>
      <c r="CR233" s="51"/>
      <c r="CS233" s="51"/>
      <c r="CT233" s="51"/>
    </row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2">
    <mergeCell ref="T6:T7"/>
    <mergeCell ref="U6:U7"/>
    <mergeCell ref="V6:V7"/>
    <mergeCell ref="W6:W7"/>
    <mergeCell ref="X6:X7"/>
    <mergeCell ref="Z6:Z7"/>
    <mergeCell ref="AA6:AA7"/>
    <mergeCell ref="AB6:AB7"/>
    <mergeCell ref="AC6:AC7"/>
    <mergeCell ref="AD6:AD7"/>
    <mergeCell ref="AE6:AE7"/>
    <mergeCell ref="T1:Y2"/>
    <mergeCell ref="D3:E3"/>
    <mergeCell ref="F3:I3"/>
    <mergeCell ref="S3:Z3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</mergeCells>
  <conditionalFormatting sqref="Z8:Z28 B9:T28 U9:U18 V9:Y28 AA9:AE28 U20:U28">
    <cfRule type="expression" dxfId="0" priority="1">
      <formula>$B6=0</formula>
    </cfRule>
  </conditionalFormatting>
  <conditionalFormatting sqref="B8:C28">
    <cfRule type="cellIs" dxfId="1" priority="2" operator="equal">
      <formula>0</formula>
    </cfRule>
  </conditionalFormatting>
  <conditionalFormatting sqref="B25:AE25 D26:AC26 D26:D28 E27:O28 R27:U28 W27:AB28">
    <cfRule type="expression" dxfId="0" priority="3">
      <formula>$B23=0</formula>
    </cfRule>
  </conditionalFormatting>
  <conditionalFormatting sqref="B27:AE27">
    <cfRule type="expression" dxfId="0" priority="4">
      <formula>$B23=0</formula>
    </cfRule>
  </conditionalFormatting>
  <conditionalFormatting sqref="B26:AE26 D27 E27:O28 R27:U28 W27:AB28">
    <cfRule type="expression" dxfId="0" priority="5">
      <formula>$B23=0</formula>
    </cfRule>
  </conditionalFormatting>
  <conditionalFormatting sqref="B8:AE28">
    <cfRule type="expression" dxfId="2" priority="6">
      <formula>$A8=0</formula>
    </cfRule>
  </conditionalFormatting>
  <conditionalFormatting sqref="B28:AE28">
    <cfRule type="expression" dxfId="0" priority="7">
      <formula>$B23=0</formula>
    </cfRule>
  </conditionalFormatting>
  <hyperlinks>
    <hyperlink r:id="rId1" ref="S3"/>
  </hyperlinks>
  <printOptions/>
  <pageMargins bottom="0.75" footer="0.0" header="0.0" left="0.7" right="0.7" top="0.75"/>
  <pageSetup paperSize="9"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hidden="1" min="1" max="1" width="6.86"/>
    <col customWidth="1" hidden="1" min="2" max="2" width="8.14"/>
    <col customWidth="1" min="3" max="3" width="5.71"/>
    <col customWidth="1" min="4" max="4" width="20.29"/>
    <col customWidth="1" min="5" max="5" width="14.43"/>
    <col customWidth="1" min="6" max="6" width="11.0"/>
    <col customWidth="1" min="7" max="7" width="11.29"/>
    <col customWidth="1" min="8" max="13" width="10.71"/>
    <col customWidth="1" min="14" max="14" width="9.14"/>
    <col customWidth="1" min="15" max="15" width="13.0"/>
    <col customWidth="1" min="16" max="24" width="8.71"/>
    <col customWidth="1" min="25" max="25" width="10.43"/>
    <col customWidth="1" min="26" max="27" width="8.71"/>
    <col customWidth="1" min="28" max="28" width="9.86"/>
    <col customWidth="1" min="29" max="29" width="10.14"/>
    <col customWidth="1" min="30" max="30" width="10.71"/>
    <col customWidth="1" min="31" max="31" width="12.14"/>
    <col customWidth="1" min="32" max="32" width="11.43"/>
    <col customWidth="1" hidden="1" min="33" max="41" width="9.14"/>
    <col customWidth="1" hidden="1" min="42" max="42" width="12.71"/>
    <col customWidth="1" hidden="1" min="43" max="43" width="10.29"/>
    <col customWidth="1" hidden="1" min="44" max="44" width="9.86"/>
    <col customWidth="1" hidden="1" min="45" max="47" width="9.14"/>
    <col customWidth="1" hidden="1" min="48" max="48" width="10.14"/>
    <col customWidth="1" hidden="1" min="49" max="49" width="5.57"/>
    <col customWidth="1" hidden="1" min="50" max="50" width="8.71"/>
    <col customWidth="1" hidden="1" min="51" max="51" width="7.29"/>
    <col customWidth="1" hidden="1" min="52" max="52" width="9.0"/>
    <col customWidth="1" hidden="1" min="53" max="53" width="6.29"/>
    <col customWidth="1" hidden="1" min="54" max="54" width="5.57"/>
    <col customWidth="1" hidden="1" min="55" max="56" width="6.43"/>
    <col customWidth="1" hidden="1" min="57" max="57" width="7.57"/>
    <col customWidth="1" hidden="1" min="58" max="62" width="5.57"/>
    <col customWidth="1" hidden="1" min="63" max="64" width="9.43"/>
    <col customWidth="1" hidden="1" min="65" max="98" width="9.14"/>
  </cols>
  <sheetData>
    <row r="1" ht="26.25" customHeight="1">
      <c r="A1" s="45"/>
      <c r="B1" s="45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7" t="s">
        <v>101</v>
      </c>
      <c r="U1" s="48"/>
      <c r="V1" s="48"/>
      <c r="W1" s="48"/>
      <c r="X1" s="48"/>
      <c r="Y1" s="49"/>
      <c r="Z1" s="46"/>
      <c r="AA1" s="46"/>
      <c r="AB1" s="46"/>
      <c r="AC1" s="46"/>
      <c r="AD1" s="46"/>
      <c r="AE1" s="46"/>
      <c r="AF1" s="50"/>
      <c r="AG1" s="51"/>
      <c r="AH1" s="52"/>
      <c r="AI1" s="52"/>
      <c r="AJ1" s="52"/>
      <c r="AK1" s="52"/>
      <c r="AL1" s="52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4" t="s">
        <v>25</v>
      </c>
      <c r="AX1" s="54"/>
      <c r="AY1" s="54"/>
      <c r="AZ1" s="55">
        <f>IF('Master Data'!I35&gt;9,ROUND(AZ3/31*15,0),IF('Master Data'!D18='Copy of GA55 Check &amp; Edit'!AW1,ROUND(AZ3/31*15,0),IF('Master Data'!I35&gt;=5,ROUND(AZ3/31*22,0),AZ3)))</f>
        <v>36900</v>
      </c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2"/>
      <c r="CJ1" s="52"/>
      <c r="CK1" s="52"/>
      <c r="CL1" s="52"/>
      <c r="CM1" s="52"/>
      <c r="CN1" s="52"/>
      <c r="CO1" s="52"/>
      <c r="CP1" s="51"/>
      <c r="CQ1" s="51"/>
      <c r="CR1" s="51"/>
      <c r="CS1" s="51"/>
      <c r="CT1" s="51"/>
    </row>
    <row r="2" ht="24.75" customHeight="1">
      <c r="A2" s="45"/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56"/>
      <c r="U2" s="57"/>
      <c r="V2" s="57"/>
      <c r="W2" s="57"/>
      <c r="X2" s="57"/>
      <c r="Y2" s="58"/>
      <c r="Z2" s="59"/>
      <c r="AA2" s="59"/>
      <c r="AB2" s="59"/>
      <c r="AC2" s="46"/>
      <c r="AD2" s="46"/>
      <c r="AE2" s="46"/>
      <c r="AF2" s="50"/>
      <c r="AG2" s="51"/>
      <c r="AH2" s="52"/>
      <c r="AI2" s="52"/>
      <c r="AJ2" s="52"/>
      <c r="AK2" s="52"/>
      <c r="AL2" s="52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2"/>
      <c r="CJ2" s="52"/>
      <c r="CK2" s="52"/>
      <c r="CL2" s="52"/>
      <c r="CM2" s="52"/>
      <c r="CN2" s="52"/>
      <c r="CO2" s="52"/>
      <c r="CP2" s="51"/>
      <c r="CQ2" s="51"/>
      <c r="CR2" s="51"/>
      <c r="CS2" s="51"/>
      <c r="CT2" s="51"/>
    </row>
    <row r="3" ht="27.75" customHeight="1">
      <c r="A3" s="60"/>
      <c r="B3" s="60"/>
      <c r="C3" s="61"/>
      <c r="D3" s="62" t="s">
        <v>26</v>
      </c>
      <c r="E3" s="63"/>
      <c r="F3" s="64" t="s">
        <v>102</v>
      </c>
      <c r="G3" s="65"/>
      <c r="H3" s="65"/>
      <c r="I3" s="66"/>
      <c r="J3" s="61"/>
      <c r="K3" s="61"/>
      <c r="L3" s="61"/>
      <c r="M3" s="61"/>
      <c r="N3" s="61"/>
      <c r="O3" s="61"/>
      <c r="P3" s="61"/>
      <c r="Q3" s="61"/>
      <c r="R3" s="61"/>
      <c r="S3" s="67" t="s">
        <v>27</v>
      </c>
      <c r="T3" s="68"/>
      <c r="U3" s="68"/>
      <c r="V3" s="68"/>
      <c r="W3" s="68"/>
      <c r="X3" s="68"/>
      <c r="Y3" s="68"/>
      <c r="Z3" s="69"/>
      <c r="AA3" s="61"/>
      <c r="AB3" s="61"/>
      <c r="AC3" s="61"/>
      <c r="AD3" s="61"/>
      <c r="AE3" s="61"/>
      <c r="AF3" s="70"/>
      <c r="AG3" s="71"/>
      <c r="AH3" s="72"/>
      <c r="AI3" s="72"/>
      <c r="AJ3" s="72"/>
      <c r="AK3" s="72"/>
      <c r="AL3" s="72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54"/>
      <c r="AX3" s="54"/>
      <c r="AY3" s="54"/>
      <c r="AZ3" s="55">
        <f>AZ15-ROUNDUP(ROUND((AZ15*3%)-(AZ15*3%)*2.9%,-2),0)</f>
        <v>36900</v>
      </c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2"/>
      <c r="CJ3" s="72"/>
      <c r="CK3" s="72"/>
      <c r="CL3" s="72"/>
      <c r="CM3" s="72"/>
      <c r="CN3" s="72"/>
      <c r="CO3" s="72"/>
      <c r="CP3" s="71"/>
      <c r="CQ3" s="71"/>
      <c r="CR3" s="71"/>
      <c r="CS3" s="71"/>
      <c r="CT3" s="71"/>
    </row>
    <row r="4" ht="21.0" customHeight="1">
      <c r="A4" s="60"/>
      <c r="B4" s="60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70"/>
      <c r="AG4" s="71"/>
      <c r="AH4" s="72"/>
      <c r="AI4" s="72"/>
      <c r="AJ4" s="72"/>
      <c r="AK4" s="72"/>
      <c r="AL4" s="72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2"/>
      <c r="CJ4" s="72"/>
      <c r="CK4" s="72"/>
      <c r="CL4" s="72"/>
      <c r="CM4" s="72"/>
      <c r="CN4" s="72"/>
      <c r="CO4" s="72"/>
      <c r="CP4" s="71"/>
      <c r="CQ4" s="71"/>
      <c r="CR4" s="71"/>
      <c r="CS4" s="71"/>
      <c r="CT4" s="71"/>
    </row>
    <row r="5" ht="18.0" hidden="1" customHeight="1">
      <c r="A5" s="60"/>
      <c r="B5" s="60"/>
      <c r="C5" s="74">
        <v>1.0</v>
      </c>
      <c r="D5" s="74">
        <v>2.0</v>
      </c>
      <c r="E5" s="74">
        <v>3.0</v>
      </c>
      <c r="F5" s="74">
        <v>4.0</v>
      </c>
      <c r="G5" s="74">
        <v>5.0</v>
      </c>
      <c r="H5" s="74">
        <v>6.0</v>
      </c>
      <c r="I5" s="74">
        <v>7.0</v>
      </c>
      <c r="J5" s="74">
        <v>8.0</v>
      </c>
      <c r="K5" s="74">
        <v>9.0</v>
      </c>
      <c r="L5" s="74">
        <v>10.0</v>
      </c>
      <c r="M5" s="74">
        <v>11.0</v>
      </c>
      <c r="N5" s="74">
        <v>12.0</v>
      </c>
      <c r="O5" s="74">
        <v>13.0</v>
      </c>
      <c r="P5" s="74">
        <v>14.0</v>
      </c>
      <c r="Q5" s="74">
        <v>15.0</v>
      </c>
      <c r="R5" s="74">
        <v>16.0</v>
      </c>
      <c r="S5" s="74">
        <v>17.0</v>
      </c>
      <c r="T5" s="74">
        <v>18.0</v>
      </c>
      <c r="U5" s="74">
        <v>19.0</v>
      </c>
      <c r="V5" s="74">
        <v>20.0</v>
      </c>
      <c r="W5" s="74">
        <v>21.0</v>
      </c>
      <c r="X5" s="74">
        <v>22.0</v>
      </c>
      <c r="Y5" s="74">
        <v>23.0</v>
      </c>
      <c r="Z5" s="74">
        <v>24.0</v>
      </c>
      <c r="AA5" s="74">
        <v>25.0</v>
      </c>
      <c r="AB5" s="74">
        <v>26.0</v>
      </c>
      <c r="AC5" s="74">
        <v>27.0</v>
      </c>
      <c r="AD5" s="74">
        <v>28.0</v>
      </c>
      <c r="AE5" s="74">
        <v>29.0</v>
      </c>
      <c r="AF5" s="70"/>
      <c r="AG5" s="71"/>
      <c r="AH5" s="72"/>
      <c r="AI5" s="72"/>
      <c r="AJ5" s="72"/>
      <c r="AK5" s="72"/>
      <c r="AL5" s="72"/>
      <c r="AM5" s="75">
        <f>'Master Data'!N27</f>
        <v>46054</v>
      </c>
      <c r="AN5" s="76" t="s">
        <v>28</v>
      </c>
      <c r="AO5" s="76" t="s">
        <v>29</v>
      </c>
      <c r="AP5" s="77" t="s">
        <v>30</v>
      </c>
      <c r="AQ5" s="73" t="s">
        <v>31</v>
      </c>
      <c r="AR5" s="73"/>
      <c r="AS5" s="73">
        <v>1000.0</v>
      </c>
      <c r="AT5" s="73"/>
      <c r="AU5" s="73"/>
      <c r="AV5" s="73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2"/>
      <c r="CJ5" s="72"/>
      <c r="CK5" s="72"/>
      <c r="CL5" s="72"/>
      <c r="CM5" s="72"/>
      <c r="CN5" s="72"/>
      <c r="CO5" s="72"/>
      <c r="CP5" s="71"/>
      <c r="CQ5" s="71"/>
      <c r="CR5" s="71"/>
      <c r="CS5" s="71"/>
      <c r="CT5" s="71"/>
    </row>
    <row r="6" ht="36.75" customHeight="1">
      <c r="A6" s="79"/>
      <c r="B6" s="79"/>
      <c r="C6" s="97">
        <v>1.0</v>
      </c>
      <c r="D6" s="81" t="s">
        <v>33</v>
      </c>
      <c r="E6" s="81" t="s">
        <v>34</v>
      </c>
      <c r="F6" s="144" t="s">
        <v>35</v>
      </c>
      <c r="G6" s="81" t="s">
        <v>36</v>
      </c>
      <c r="H6" s="81" t="str">
        <f>IF('Master Data'!B43="","",'Master Data'!B43)</f>
        <v>Wash All.</v>
      </c>
      <c r="I6" s="81" t="s">
        <v>37</v>
      </c>
      <c r="J6" s="81" t="s">
        <v>38</v>
      </c>
      <c r="K6" s="81" t="str">
        <f>IF('Master Data'!C43="","",'Master Data'!C43)</f>
        <v>ROP</v>
      </c>
      <c r="L6" s="81" t="str">
        <f>IF('Master Data'!D43="","",'Master Data'!D43)</f>
        <v>other-1</v>
      </c>
      <c r="M6" s="81" t="str">
        <f>IF('Master Data'!E43="","",'Master Data'!E43)</f>
        <v>other-2</v>
      </c>
      <c r="N6" s="81" t="s">
        <v>39</v>
      </c>
      <c r="O6" s="81" t="s">
        <v>40</v>
      </c>
      <c r="P6" s="81" t="str">
        <f>IF('Master Data'!G43="","",'Master Data'!G43)</f>
        <v/>
      </c>
      <c r="Q6" s="81" t="str">
        <f>IF('Master Data'!I31='Copy of GA55 Check &amp; Edit'!AN5,'Copy of GA55 Check &amp; Edit'!AN5,'Copy of GA55 Check &amp; Edit'!AN6)</f>
        <v>GPF-2004</v>
      </c>
      <c r="R6" s="81" t="str">
        <f>IF('Master Data'!I43="","",'Master Data'!I43)</f>
        <v/>
      </c>
      <c r="S6" s="81" t="str">
        <f>IF('Master Data'!J43="","",'Master Data'!J43)</f>
        <v> RGHS</v>
      </c>
      <c r="T6" s="81" t="str">
        <f>IF('Master Data'!K43="","",'Master Data'!K43)</f>
        <v>SI Loan</v>
      </c>
      <c r="U6" s="81" t="str">
        <f>IF('Master Data'!L43="","",'Master Data'!L43)</f>
        <v>GPF Loan</v>
      </c>
      <c r="V6" s="81" t="str">
        <f>IF('Master Data'!M43="","",'Master Data'!M43)</f>
        <v>SI Int.</v>
      </c>
      <c r="W6" s="81" t="str">
        <f>IF('Master Data'!N43="","",'Master Data'!N43)</f>
        <v>Other</v>
      </c>
      <c r="X6" s="82" t="s">
        <v>41</v>
      </c>
      <c r="Y6" s="83" t="s">
        <v>42</v>
      </c>
      <c r="Z6" s="84" t="s">
        <v>43</v>
      </c>
      <c r="AA6" s="81" t="s">
        <v>44</v>
      </c>
      <c r="AB6" s="81" t="s">
        <v>45</v>
      </c>
      <c r="AC6" s="81" t="s">
        <v>46</v>
      </c>
      <c r="AD6" s="81" t="s">
        <v>47</v>
      </c>
      <c r="AE6" s="85" t="s">
        <v>48</v>
      </c>
      <c r="AF6" s="86"/>
      <c r="AG6" s="87"/>
      <c r="AH6" s="88"/>
      <c r="AI6" s="88"/>
      <c r="AJ6" s="88"/>
      <c r="AK6" s="88"/>
      <c r="AL6" s="88"/>
      <c r="AM6" s="76"/>
      <c r="AN6" s="76" t="s">
        <v>49</v>
      </c>
      <c r="AO6" s="76" t="s">
        <v>50</v>
      </c>
      <c r="AP6" s="76" t="s">
        <v>51</v>
      </c>
      <c r="AQ6" s="76" t="s">
        <v>52</v>
      </c>
      <c r="AR6" s="76"/>
      <c r="AS6" s="76">
        <v>620.0</v>
      </c>
      <c r="AT6" s="89"/>
      <c r="AU6" s="76"/>
      <c r="AV6" s="76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>
        <f>IFERROR(IF(AND('Master Data'!$I$31='Copy of GA55 Check &amp; Edit'!$AN$6),ROUND((E9)*0.1,0),IF(AND('Master Data'!$I$29='Copy of GA55 Check &amp; Edit'!$AP$6),ROUND((E9+F8)*0.1,0),'Master Data'!$H$44)),"")</f>
        <v>10490</v>
      </c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88"/>
      <c r="CJ6" s="88"/>
      <c r="CK6" s="88"/>
      <c r="CL6" s="88"/>
      <c r="CM6" s="88"/>
      <c r="CN6" s="88"/>
      <c r="CO6" s="88"/>
      <c r="CP6" s="87"/>
      <c r="CQ6" s="87"/>
      <c r="CR6" s="87"/>
      <c r="CS6" s="87"/>
      <c r="CT6" s="87"/>
    </row>
    <row r="7" ht="30.0" customHeight="1">
      <c r="A7" s="79"/>
      <c r="B7" s="79"/>
      <c r="C7" s="110">
        <v>2.0</v>
      </c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2"/>
      <c r="Y7" s="93"/>
      <c r="Z7" s="94"/>
      <c r="AA7" s="91"/>
      <c r="AB7" s="91"/>
      <c r="AC7" s="91"/>
      <c r="AD7" s="91"/>
      <c r="AE7" s="95"/>
      <c r="AF7" s="86"/>
      <c r="AG7" s="87"/>
      <c r="AH7" s="88"/>
      <c r="AI7" s="88"/>
      <c r="AJ7" s="88"/>
      <c r="AK7" s="88"/>
      <c r="AL7" s="88"/>
      <c r="AM7" s="76"/>
      <c r="AN7" s="76"/>
      <c r="AO7" s="76"/>
      <c r="AP7" s="76"/>
      <c r="AQ7" s="76" t="s">
        <v>53</v>
      </c>
      <c r="AR7" s="76"/>
      <c r="AS7" s="76"/>
      <c r="AT7" s="89"/>
      <c r="AU7" s="76"/>
      <c r="AV7" s="76"/>
      <c r="AW7" s="54"/>
      <c r="AX7" s="54"/>
      <c r="AY7" s="54"/>
      <c r="AZ7" s="54"/>
      <c r="BA7" s="54"/>
      <c r="BB7" s="54"/>
      <c r="BC7" s="54"/>
      <c r="BD7" s="54" t="str">
        <f>IF(D6="State Service",ROUND(B10*15/31,0),IF(AND(D6="Subordinate",OR(B6=G5,B6=G6,B6=G7,B6=G8,B6=G9)),ROUND(B10*22/31,0),IF(AND(D6="Subordinate",OR(B6=G10,B6=G11,B6=G12,B6=G13,B6=G14,B6=G15)),ROUND(B10*15/31,0),IF(D6="Ministerial",ROUND(B10*22/31,0),B10))))</f>
        <v>#ERROR!</v>
      </c>
      <c r="BE7" s="54"/>
      <c r="BF7" s="54"/>
      <c r="BG7" s="54"/>
      <c r="BH7" s="54"/>
      <c r="BI7" s="55" t="str">
        <f>IF(OR('Master Data'!$I$29='Copy of GA55 Check &amp; Edit'!$AP$6),"",IF('Master Data'!$I$31="GPF-2004",IF(#REF!&lt;23101,1450,IF(#REF!&lt;28501,1625,IF(#REF!&lt;38501,2100,IF(#REF!&lt;51501,2850,IF(#REF!&lt;62001,3575,IF(#REF!&lt;72001,4200,IF(#REF!&lt;80001,4800,IF(#REF!&lt;116001,6150,IF(#REF!&lt;167001,8900,10500)))))))))*2,'Master Data'!$H$44))</f>
        <v>#REF!</v>
      </c>
      <c r="BJ7" s="54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88"/>
      <c r="CJ7" s="88"/>
      <c r="CK7" s="88"/>
      <c r="CL7" s="88"/>
      <c r="CM7" s="88"/>
      <c r="CN7" s="88"/>
      <c r="CO7" s="88"/>
      <c r="CP7" s="87"/>
      <c r="CQ7" s="87"/>
      <c r="CR7" s="87"/>
      <c r="CS7" s="87"/>
      <c r="CT7" s="87"/>
    </row>
    <row r="8" ht="21.0" customHeight="1">
      <c r="A8" s="1" t="str">
        <f t="shared" ref="A8:A28" si="1">MOD(B8,2)</f>
        <v>#REF!</v>
      </c>
      <c r="B8" s="96" t="str">
        <f>IF(LEN(#REF!)&gt;=3,1,0)</f>
        <v>#REF!</v>
      </c>
      <c r="C8" s="110">
        <v>3.0</v>
      </c>
      <c r="D8" s="145" t="s">
        <v>103</v>
      </c>
      <c r="E8" s="146">
        <v>47900.0</v>
      </c>
      <c r="F8" s="100" t="str">
        <f>_xlfn.IFERROR(IF(#REF!="","",IF(#REF!=$AX$24,"",IF(AND(#REF!=$AX$28),"",IF(AND('Master Data'!$I$28='Copy of GA55 Check &amp; Edit'!$AP$5),VLOOKUP(#REF!,Copy of GA55 Check &amp; Edit!ram,7,0),"")))),"")</f>
        <v>#ERROR!</v>
      </c>
      <c r="G8" s="100" t="str">
        <f>_xlfn.IFERROR(IF(#REF!="","",IF(#REF!=$AX$24,"",IF(AND(#REF!=$AX$25),"",IF(AND(#REF!=$AX$26),"",IF(AND(#REF!=$AX$27),"",IF(AND(#REF!=$AX$28),"",IF(AND(#REF!=$AX$29),"",IF(AND('Master Data'!$I$28='Copy of GA55 Check &amp; Edit'!$AP$6),"",VLOOKUP(#REF!,Copy of GA55 Check &amp; Edit!ram,8,0))))))))),"")</f>
        <v>#ERROR!</v>
      </c>
      <c r="H8" s="100" t="str">
        <f>IFERROR(IF(#REF!="","",IF(AND(E9=""),"",IF(OR(#REF!=$AX$24,#REF!=$AX$25,#REF!=$AX$26,#REF!=$AX$27,#REF!=$AX$28,#REF!=$AX$29),"",IF(AND('Master Data'!$I$29='Copy of GA55 Check &amp; Edit'!$AP$5),'Master Data'!$B$44,"")))),"")</f>
        <v/>
      </c>
      <c r="I8" s="100" t="str">
        <f>IFERROR(IF(#REF!="","",IF(AND(E9=""),"",IF(OR(#REF!=$AX$24,#REF!=$AX$25,#REF!=$AX$26,#REF!=$AX$27,#REF!=$AX$28,#REF!=$AX$29),"",IF(AND('Master Data'!$I$29='Copy of GA55 Check &amp; Edit'!$AP$5,'Master Data'!$E$29='Copy of GA55 Check &amp; Edit'!$AO$5),'Master Data'!$E$31,"0")))),"")</f>
        <v/>
      </c>
      <c r="J8" s="100" t="str">
        <f>IFERROR(IF(OR('Master Data'!$E$33=$AO$6,'Master Data'!$E$33=""),"",IF(#REF!="","",IF(AND(E9=""),"",IF(OR(#REF!=$AX$24,#REF!=$AX$25,#REF!=$AX$26,#REF!=$AX$27,#REF!=$AX$28,#REF!=$AX$29),"",IF(AND('Master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8" s="100" t="str">
        <f>IFERROR(IF(#REF!="","",IF(AND(E9=""),"",IF(OR(#REF!=$AX$24,#REF!=$AX$25,#REF!=$AX$26,#REF!=$AX$27,#REF!=$AX$28,#REF!=$AX$29),"",IF(AND('Master Data'!$I$29='Copy of GA55 Check &amp; Edit'!$AP$5),'Master Data'!$C$44,"")))),"")</f>
        <v/>
      </c>
      <c r="L8" s="100" t="str">
        <f>IFERROR(IF(#REF!="","",IF(AND(E9=""),"",IF(OR(#REF!=$AX$24,#REF!=$AX$25,#REF!=$AX$26,#REF!=$AX$27,#REF!=$AX$28,#REF!=$AX$29),"",IF(AND('Master Data'!$I$29='Copy of GA55 Check &amp; Edit'!$AP$6),"",'Master Data'!$D$44)))),"")</f>
        <v/>
      </c>
      <c r="M8" s="100" t="str">
        <f>IFERROR(IF(#REF!="","",IF(AND(E9=""),"",IF(OR(#REF!=$AX$24,#REF!=$AX$25,#REF!=$AX$26,#REF!=$AX$27,#REF!=$AX$28,#REF!=$AX$29),"",IF(AND('Master Data'!$I$29='Copy of GA55 Check &amp; Edit'!$AP$6),"",'Master Data'!$E$44)))),"")</f>
        <v/>
      </c>
      <c r="N8" s="100" t="str">
        <f>_xlfn.IFERROR(IF(#REF!="","",IF(AND('Master Data'!$I$28='Copy of GA55 Check &amp; Edit'!$AP$6),"",IF(AND('Master Data'!$I$24='Copy of GA55 Check &amp; Edit'!$AO$6),"0",IF(AND(#REF!="Bonus"),VLOOKUP(#REF!,Copy of GA55 Check &amp; Edit!ram,4,0),"")))),"")</f>
        <v>#ERROR!</v>
      </c>
      <c r="O8" s="101" t="str">
        <f>IF(#REF!="","",IF('Master Data'!$N$25="","",SUM(E8:N8)))</f>
        <v>#REF!</v>
      </c>
      <c r="P8" s="102" t="str">
        <f>_xlfn.IFERROR(IF(OR('Master Data'!$I$28='Copy of GA55 Check &amp; Edit'!$AP$6,#REF!=""),"",IF(AND(#REF!=$AX$24),"",IF(AND(#REF!=$AX$25),"",IF(AND(#REF!=$AX$26),"",IF(AND(#REF!=$AX$27),"",IF(AND(#REF!=$AX$28),"",IF(AND(#REF!=$AX$29),"",IF(AND(E9=""),"",VLOOKUP(#REF!,Copy of GA55 Check &amp; Edit!ram,11,0))))))))),"")</f>
        <v>#ERROR!</v>
      </c>
      <c r="Q8" s="102" t="str">
        <f>_xlfn.IFERROR(IF(AND('Master Data'!$I$28='Copy of GA55 Check &amp; Edit'!$AP$6),"",IF(AND(#REF!=$AX$25),"",IF(AND(#REF!=$AX$28),"",IF(AND(#REF!=$AX$29),"",IF(AND(#REF!=""),"",IF(AND(BB12=""),"",VLOOKUP(#REF!,Copy of GA55 Check &amp; Edit!ram,12,0))))))),"")</f>
        <v>#ERROR!</v>
      </c>
      <c r="R8" s="102" t="str">
        <f>IFERROR(IF(OR('Master Data'!$I$29='Copy of GA55 Check &amp; Edit'!$AP$6,#REF!=""),"",IF(AND(#REF!=$AX$24),"",IF(AND(#REF!=$AX$25),"",IF(AND(#REF!=$AX$26),"",IF(AND(#REF!=$AX$27),"",IF(AND(#REF!=$AX$28),"",IF(AND(#REF!=$AX$29),"",IF(AND(E9=""),"",'Master Data'!$I$44)))))))),"")</f>
        <v/>
      </c>
      <c r="S8" s="102" t="str">
        <f>_xlfn.IFERROR(IF(OR('Master Data'!$I$28='Copy of GA55 Check &amp; Edit'!$AP$6),"",IF(#REF!="","",IF(E9="","",IF(AND(#REF!=$AX$24),"",IF(AND(#REF!=$AX$25),"",IF(AND(#REF!=$AX$26),"",IF(AND(#REF!=$AX$27),"",IF(AND(#REF!=$AX$28),"",IF(AND(#REF!=$AX$29),"",VLOOKUP(#REF!,Copy of GA55 Check &amp; Edit!ram,10,0)))))))))),"")</f>
        <v>#ERROR!</v>
      </c>
      <c r="T8" s="102" t="str">
        <f>IFERROR(IF(OR('Master Data'!$I$29='Copy of GA55 Check &amp; Edit'!$AP$6,#REF!=""),"",IF(AND(#REF!=$AX$24),"",IF(AND(#REF!=$AX$25),"",IF(AND(#REF!=$AX$26),"",IF(AND(#REF!=$AX$27),"",IF(AND(#REF!=$AX$28),"",IF(AND(#REF!=$AX$29),"",IF(AND(E9=""),"",'Master Data'!$K$44)))))))),"")</f>
        <v/>
      </c>
      <c r="U8" s="102" t="str">
        <f>IFERROR(IF(OR('Master Data'!$I$29='Copy of GA55 Check &amp; Edit'!$AP$6,#REF!=""),"",IF(AND(#REF!=$AX$24),"",IF(AND(#REF!=$AX$25),"",IF(AND(#REF!=$AX$26),"",IF(AND(#REF!=$AX$27),"",IF(AND(#REF!=$AX$28),"",IF(AND(#REF!=$AX$29),"",IF(AND(E9=""),"",'Master Data'!$L$44)))))))),"")</f>
        <v/>
      </c>
      <c r="V8" s="102" t="str">
        <f>IFERROR(IF(OR('Master Data'!$I$29='Copy of GA55 Check &amp; Edit'!$AP$6,#REF!=""),"",IF(AND(#REF!=$AX$24),"",IF(AND(#REF!=$AX$25),"",IF(AND(#REF!=$AX$26),"",IF(AND(#REF!=$AX$27),"",IF(AND(#REF!=$AX$28),"",IF(AND(#REF!=$AX$29),"",IF(AND(E9=""),"",'Master Data'!$M$44)))))))),"")</f>
        <v/>
      </c>
      <c r="W8" s="102" t="str">
        <f>IFERROR(IF(OR('Master Data'!$I$29='Copy of GA55 Check &amp; Edit'!$AP$6,#REF!=""),"",IF(AND(#REF!=$AX$24),"",IF(AND(#REF!=$AX$25),"",IF(AND(#REF!=$AX$26),"",IF(AND(#REF!=$AX$27),"",IF(AND(#REF!=$AX$28),"",IF(AND(#REF!=$AX$29),"",IF(AND(E9=""),"",'Master Data'!$N$44)))))))),"")</f>
        <v/>
      </c>
      <c r="X8" s="102" t="str">
        <f>IFERROR(IF(OR('Master Data'!$I$29='Copy of GA55 Check &amp; Edit'!$AP$6,#REF!=""),"",IF(AND(E9=""),"",IF(AND(#REF!='Copy of GA55 Check &amp; Edit'!$AT$17,'Master Data'!$D$18="Gazetted"),500,IF(AND(#REF!='Copy of GA55 Check &amp; Edit'!$AT$17,'Master Data'!$D$18="Non-Gazetted"),250,"")))),"")</f>
        <v/>
      </c>
      <c r="Y8" s="102" t="str">
        <f>IFERROR(IF(#REF!="","",IF(AND(E9=""),"",IF(AND(#REF!=$AX$24),"",IF(AND(#REF!=$AX$25),"",IF(AND(#REF!=$AX$26),"",IF(AND(#REF!=$AX$27),"",IF(AND(#REF!=$AX$28),"",IF(AND(#REF!=$AX$29),"",IF(OR('Master Data'!$I$29='Copy of GA55 Check &amp; Edit'!$AP$6,#REF!=""),"",$Y$7))))))))),"")</f>
        <v/>
      </c>
      <c r="Z8" s="103" t="str">
        <f>_xlfn.IFERROR(IF(OR('Master Data'!$I$28='Copy of GA55 Check &amp; Edit'!$AP$6),"",IF(#REF!="","",IF(E9="","",VLOOKUP(#REF!,Copy of GA55 Check &amp; Edit!ram,9,0)))),"")</f>
        <v>#ERROR!</v>
      </c>
      <c r="AA8" s="102" t="str">
        <f>IFERROR(IF(OR('Master Data'!$I$29='Copy of GA55 Check &amp; Edit'!$AP$6,#REF!="",'Master Data'!$N$35=""),"",IF(AND(E9=""),"",IF(#REF!='Copy of GA55 Check &amp; Edit'!$AT$9,'Master Data'!$N$35,""))),"")</f>
        <v/>
      </c>
      <c r="AB8" s="104" t="str">
        <f>IFERROR(IF(#REF!="","",IF(AND(O8=""),"",SUM(P8:AA8))),"0")</f>
        <v>0</v>
      </c>
      <c r="AC8" s="105" t="str">
        <f>IFERROR(IF(AND(E9="",O8="",AB8=""),"",SUM(O8-AB8)),"")</f>
        <v/>
      </c>
      <c r="AD8" s="106"/>
      <c r="AE8" s="107"/>
      <c r="AF8" s="1"/>
      <c r="AG8" s="108"/>
      <c r="AH8" s="109"/>
      <c r="AI8" s="109"/>
      <c r="AJ8" s="109"/>
      <c r="AK8" s="109"/>
      <c r="AL8" s="109"/>
      <c r="AM8" s="54"/>
      <c r="AN8" s="54"/>
      <c r="AO8" s="54"/>
      <c r="AP8" s="54"/>
      <c r="AQ8" s="54"/>
      <c r="AR8" s="54" t="s">
        <v>54</v>
      </c>
      <c r="AS8" s="54" t="s">
        <v>55</v>
      </c>
      <c r="AT8" s="89">
        <v>45717.0</v>
      </c>
      <c r="AU8" s="54" t="s">
        <v>56</v>
      </c>
      <c r="AV8" s="54"/>
      <c r="AW8" s="54"/>
      <c r="AX8" s="89">
        <v>45717.0</v>
      </c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109"/>
      <c r="CJ8" s="109"/>
      <c r="CK8" s="109"/>
      <c r="CL8" s="109"/>
      <c r="CM8" s="109"/>
      <c r="CN8" s="109"/>
      <c r="CO8" s="109"/>
      <c r="CP8" s="108"/>
      <c r="CQ8" s="108"/>
      <c r="CR8" s="108"/>
      <c r="CS8" s="108"/>
      <c r="CT8" s="108"/>
    </row>
    <row r="9" ht="21.0" customHeight="1">
      <c r="A9" s="1" t="str">
        <f t="shared" si="1"/>
        <v>#REF!</v>
      </c>
      <c r="B9" s="96" t="str">
        <f>IF(LEN(D9)&gt;=3,B8+1,0)</f>
        <v>#REF!</v>
      </c>
      <c r="C9" s="110">
        <v>4.0</v>
      </c>
      <c r="D9" s="112" t="s">
        <v>104</v>
      </c>
      <c r="E9" s="147">
        <v>104900.0</v>
      </c>
      <c r="F9" s="113">
        <v>104900.0</v>
      </c>
      <c r="G9" s="113" t="str">
        <f>_xlfn.IFERROR(IF(D9="","",IF(D9=$AX$24,"",IF(AND(D9=$AX$25),"",IF(AND(D9=$AX$26),"",IF(AND(D9=$AX$27),"",IF(AND(D9=$AX$28),"",IF(AND(D9=$AX$29),"",IF(AND('Master Data'!$I$28='Copy of GA55 Check &amp; Edit'!$AP$6),"",VLOOKUP(D9,Copy of GA55 Check &amp; Edit!ram,8,0))))))))),"")</f>
        <v>#ERROR!</v>
      </c>
      <c r="H9" s="113" t="str">
        <f>IFERROR(IF(D9="","",IF(AND(E11=""),"",IF(OR(D9=$AX$24,D9=$AX$25,D9=$AX$26,D9=$AX$27,D9=$AX$28,D9=$AX$29),"",IF(AND('Master Data'!$I$29='Copy of GA55 Check &amp; Edit'!$AP$5),'Master Data'!$B$44,"")))),"")</f>
        <v/>
      </c>
      <c r="I9" s="113" t="str">
        <f>IFERROR(IF(D9="","",IF(AND(E11=""),"",IF(OR(D9=$AX$24,D9=$AX$25,D9=$AX$26,D9=$AX$27,D9=$AX$28,D9=$AX$29),"",IF(AND('Master Data'!$I$29='Copy of GA55 Check &amp; Edit'!$AP$5,'Master Data'!$E$29='Copy of GA55 Check &amp; Edit'!$AO$5),'Master Data'!$E$31,"0")))),"")</f>
        <v>0</v>
      </c>
      <c r="J9" s="113" t="str">
        <f>IFERROR(IF(OR('Master Data'!$E$33=$AO$6,'Master Data'!$E$33=""),"",IF(D9="","",IF(AND(E11=""),"",IF(OR(D9=$AX$24,D9=$AX$25,D9=$AX$26,D9=$AX$27,D9=$AX$28,D9=$AX$29),"",IF(AND('Master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9" s="113" t="str">
        <f>IFERROR(IF(D9="","",IF(AND(E11=""),"",IF(OR(D9=$AX$24,D9=$AX$25,D9=$AX$26,D9=$AX$27,D9=$AX$28,D9=$AX$29),"",IF(AND('Master Data'!$I$29='Copy of GA55 Check &amp; Edit'!$AP$5),'Master Data'!$C$44,"")))),"")</f>
        <v/>
      </c>
      <c r="L9" s="113" t="str">
        <f>IFERROR(IF(D9="","",IF(AND(E11=""),"",IF(OR(D9=$AX$24,D9=$AX$25,D9=$AX$26,D9=$AX$27,D9=$AX$28,D9=$AX$29),"",IF(AND('Master Data'!$I$29='Copy of GA55 Check &amp; Edit'!$AP$6),"",'Master Data'!$D$44)))),"")</f>
        <v/>
      </c>
      <c r="M9" s="113" t="str">
        <f>IFERROR(IF(D9="","",IF(AND(E11=""),"",IF(OR(D9=$AX$24,D9=$AX$25,D9=$AX$26,D9=$AX$27,D9=$AX$28,D9=$AX$29),"",IF(AND('Master Data'!$I$29='Copy of GA55 Check &amp; Edit'!$AP$6),"",'Master Data'!$E$44)))),"")</f>
        <v/>
      </c>
      <c r="N9" s="113" t="str">
        <f>_xlfn.IFERROR(IF(D9="","",IF(AND('Master Data'!$I$28='Copy of GA55 Check &amp; Edit'!$AP$6),"",IF(AND('Master Data'!$I$24='Copy of GA55 Check &amp; Edit'!$AO$6),"0",IF(AND(D9="Bonus"),VLOOKUP(D9,Copy of GA55 Check &amp; Edit!ram,4,0),"")))),"")</f>
        <v>#ERROR!</v>
      </c>
      <c r="O9" s="114" t="str">
        <f>IF(D9="","",IF('Master Data'!$N$25="","",SUM(E9:N9)))</f>
        <v>#ERROR!</v>
      </c>
      <c r="P9" s="103" t="str">
        <f>_xlfn.IFERROR(IF(OR('Master Data'!$I$28='Copy of GA55 Check &amp; Edit'!$AP$6,D9=""),"",IF(AND(D9=$AX$24),"",IF(AND(D9=$AX$25),"",IF(AND(D9=$AX$26),"",IF(AND(D9=$AX$27),"",IF(AND(D9=$AX$28),"",IF(AND(D9=$AX$29),"",IF(AND(E11=""),"",VLOOKUP(D9,Copy of GA55 Check &amp; Edit!ram,11,0))))))))),"")</f>
        <v>#ERROR!</v>
      </c>
      <c r="Q9" s="102" t="str">
        <f>_xlfn.IFERROR(IF(AND('Master Data'!$I$28='Copy of GA55 Check &amp; Edit'!$AP$6),"",IF(AND(D9=$AX$25),"",IF(AND(D9=$AX$28),"",IF(AND(D9=$AX$29),"",IF(AND(D9=""),"",IF(AND(BB13=""),"",VLOOKUP(D9,Copy of GA55 Check &amp; Edit!ram,12,0))))))),"")</f>
        <v>#ERROR!</v>
      </c>
      <c r="R9" s="103" t="str">
        <f>IFERROR(IF(OR('Master Data'!$I$29='Copy of GA55 Check &amp; Edit'!$AP$6,D9=""),"",IF(AND(D9=$AX$24),"",IF(AND(D9=$AX$25),"",IF(AND(D9=$AX$26),"",IF(AND(D9=$AX$27),"",IF(AND(D9=$AX$28),"",IF(AND(D9=$AX$29),"",IF(AND(E11=""),"",'Master Data'!$I$44)))))))),"")</f>
        <v/>
      </c>
      <c r="S9" s="103" t="str">
        <f>_xlfn.IFERROR(IF(OR('Master Data'!$I$28='Copy of GA55 Check &amp; Edit'!$AP$6),"",IF(D9="","",IF(E11="","",IF(AND(D9=$AX$24),"",IF(AND(D9=$AX$25),"",IF(AND(D9=$AX$26),"",IF(AND(D9=$AX$27),"",IF(AND(D9=$AX$28),"",IF(AND(D9=$AX$29),"",VLOOKUP(D9,Copy of GA55 Check &amp; Edit!ram,10,0)))))))))),"")</f>
        <v>#ERROR!</v>
      </c>
      <c r="T9" s="103">
        <f>IFERROR(IF(OR('Master Data'!$I$29='Copy of GA55 Check &amp; Edit'!$AP$6,D9=""),"",IF(AND(D9=$AX$24),"",IF(AND(D9=$AX$25),"",IF(AND(D9=$AX$26),"",IF(AND(D9=$AX$27),"",IF(AND(D9=$AX$28),"",IF(AND(D9=$AX$29),"",IF(AND(E11=""),"",'Master Data'!$K$44)))))))),"")</f>
        <v>3000</v>
      </c>
      <c r="U9" s="103">
        <f>IFERROR(IF(OR('Master Data'!$I$29='Copy of GA55 Check &amp; Edit'!$AP$6,D9=""),"",IF(AND(D9=$AX$24),"",IF(AND(D9=$AX$25),"",IF(AND(D9=$AX$26),"",IF(AND(D9=$AX$27),"",IF(AND(D9=$AX$28),"",IF(AND(D9=$AX$29),"",IF(AND(E11=""),"",'Master Data'!$L$44)))))))),"")</f>
        <v>2100</v>
      </c>
      <c r="V9" s="103" t="str">
        <f>IFERROR(IF(OR('Master Data'!$I$29='Copy of GA55 Check &amp; Edit'!$AP$6,D9=""),"",IF(AND(D9=$AX$24),"",IF(AND(D9=$AX$25),"",IF(AND(D9=$AX$26),"",IF(AND(D9=$AX$27),"",IF(AND(D9=$AX$28),"",IF(AND(D9=$AX$29),"",IF(AND(E11=""),"",'Master Data'!$M$44)))))))),"")</f>
        <v/>
      </c>
      <c r="W9" s="103" t="str">
        <f>IFERROR(IF(OR('Master Data'!$I$29='Copy of GA55 Check &amp; Edit'!$AP$6,D9=""),"",IF(AND(D9=$AX$24),"",IF(AND(D9=$AX$25),"",IF(AND(D9=$AX$26),"",IF(AND(D9=$AX$27),"",IF(AND(D9=$AX$28),"",IF(AND(D9=$AX$29),"",IF(AND(E11=""),"",'Master Data'!$N$44)))))))),"")</f>
        <v/>
      </c>
      <c r="X9" s="103" t="str">
        <f>IFERROR(IF(OR('Master Data'!$I$29='Copy of GA55 Check &amp; Edit'!$AP$6,D9=""),"",IF(AND(E11=""),"",IF(AND('Copy of GA55 Check &amp; Edit'!D9='Copy of GA55 Check &amp; Edit'!$AT$17,'Master Data'!$D$18="Gazetted"),500,IF(AND('Copy of GA55 Check &amp; Edit'!D9='Copy of GA55 Check &amp; Edit'!$AT$17,'Master Data'!$D$18="Non-Gazetted"),250,"")))),"")</f>
        <v/>
      </c>
      <c r="Y9" s="103" t="str">
        <f>IFERROR(IF(D9="","",IF(AND(E11=""),"",IF(AND(D9=$AX$24),"",IF(AND(D9=$AX$25),"",IF(AND(D9=$AX$26),"",IF(AND(D9=$AX$27),"",IF(AND(D9=$AX$28),"",IF(AND(D9=$AX$29),"",IF(OR('Master Data'!$I$29='Copy of GA55 Check &amp; Edit'!$AP$6,D9=""),"",$Y$7))))))))),"")</f>
        <v/>
      </c>
      <c r="Z9" s="103" t="str">
        <f>_xlfn.IFERROR(IF(OR('Master Data'!$I$28='Copy of GA55 Check &amp; Edit'!$AP$6),"",IF(D9="","",IF(E11="","",VLOOKUP(D9,Copy of GA55 Check &amp; Edit!ram,9,0)))),"")</f>
        <v>#ERROR!</v>
      </c>
      <c r="AA9" s="103" t="str">
        <f>IFERROR(IF(OR('Master Data'!$I$29='Copy of GA55 Check &amp; Edit'!$AP$6,D9="",'Master Data'!$N$35=""),"",IF(AND(E11=""),"",IF('Copy of GA55 Check &amp; Edit'!D9='Copy of GA55 Check &amp; Edit'!$AT$9,'Master Data'!$N$35,""))),"")</f>
        <v/>
      </c>
      <c r="AB9" s="115" t="str">
        <f>IFERROR(IF(D9="","",IF(AND(O9=""),"",SUM(P9:AA9))),"0")</f>
        <v>0</v>
      </c>
      <c r="AC9" s="116" t="str">
        <f>IFERROR(IF(AND(E11="",O9="",AB9=""),"",SUM(O9-AB9)),"")</f>
        <v/>
      </c>
      <c r="AD9" s="117"/>
      <c r="AE9" s="118"/>
      <c r="AF9" s="1"/>
      <c r="AG9" s="108"/>
      <c r="AH9" s="109"/>
      <c r="AI9" s="109"/>
      <c r="AJ9" s="109"/>
      <c r="AK9" s="109"/>
      <c r="AL9" s="109"/>
      <c r="AM9" s="54"/>
      <c r="AN9" s="54"/>
      <c r="AO9" s="54"/>
      <c r="AP9" s="54"/>
      <c r="AQ9" s="54"/>
      <c r="AR9" s="54" t="s">
        <v>57</v>
      </c>
      <c r="AS9" s="54" t="s">
        <v>58</v>
      </c>
      <c r="AT9" s="89">
        <v>45748.0</v>
      </c>
      <c r="AU9" s="54" t="s">
        <v>59</v>
      </c>
      <c r="AV9" s="54"/>
      <c r="AW9" s="119"/>
      <c r="AX9" s="120"/>
      <c r="AY9" s="120"/>
      <c r="AZ9" s="121">
        <v>46081.0</v>
      </c>
      <c r="BA9" s="120"/>
      <c r="BB9" s="120"/>
      <c r="BC9" s="122" t="str">
        <f>IF('Master Data'!I35&gt;9,ROUND('Master Data'!$E$37/31*15,0),IF('Master Data'!E35='Copy of GA55 Check &amp; Edit'!AO5,ROUND('Master Data'!$E$37/31*15,0),IF('Master Data'!I35&gt;=5,ROUND('Master Data'!$E$37/31*22,0),IF('Master Data'!D18='Copy of GA55 Check &amp; Edit'!AO5,ROUND('Master Data'!$E$37/31*22,0),'Master Data'!E37))))</f>
        <v/>
      </c>
      <c r="BD9" s="120"/>
      <c r="BE9" s="120"/>
      <c r="BF9" s="120"/>
      <c r="BG9" s="120"/>
      <c r="BH9" s="120"/>
      <c r="BI9" s="123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109"/>
      <c r="CJ9" s="109"/>
      <c r="CK9" s="109"/>
      <c r="CL9" s="109"/>
      <c r="CM9" s="109"/>
      <c r="CN9" s="109"/>
      <c r="CO9" s="109"/>
      <c r="CP9" s="108"/>
      <c r="CQ9" s="108"/>
      <c r="CR9" s="108"/>
      <c r="CS9" s="108"/>
      <c r="CT9" s="108"/>
    </row>
    <row r="10" ht="21.0" customHeight="1">
      <c r="A10" s="1" t="str">
        <f t="shared" si="1"/>
        <v>#REF!</v>
      </c>
      <c r="B10" s="96" t="str">
        <f>IF(LEN(#REF!)&gt;=3,B9+1,0)</f>
        <v>#REF!</v>
      </c>
      <c r="C10" s="148"/>
      <c r="D10" s="145" t="s">
        <v>105</v>
      </c>
      <c r="E10" s="112">
        <v>104900.0</v>
      </c>
      <c r="F10" s="113" t="str">
        <f>_xlfn.IFERROR(IF(#REF!="","",IF(#REF!=$AX$24,"",IF(AND(#REF!=$AX$28),"",IF(AND('Master Data'!$I$28='Copy of GA55 Check &amp; Edit'!$AP$5),VLOOKUP(#REF!,Copy of GA55 Check &amp; Edit!ram,7,0),"")))),"")</f>
        <v>#ERROR!</v>
      </c>
      <c r="G10" s="113" t="str">
        <f>_xlfn.IFERROR(IF(#REF!="","",IF(#REF!=$AX$24,"",IF(AND(#REF!=$AX$25),"",IF(AND(#REF!=$AX$26),"",IF(AND(#REF!=$AX$27),"",IF(AND(#REF!=$AX$28),"",IF(AND(#REF!=$AX$29),"",IF(AND('Master Data'!$I$28='Copy of GA55 Check &amp; Edit'!$AP$6),"",VLOOKUP(#REF!,Copy of GA55 Check &amp; Edit!ram,8,0))))))))),"")</f>
        <v>#ERROR!</v>
      </c>
      <c r="H10" s="113" t="str">
        <f>IFERROR(IF(#REF!="","",IF(AND(#REF!=""),"",IF(OR(#REF!=$AX$24,#REF!=$AX$25,#REF!=$AX$26,#REF!=$AX$27,#REF!=$AX$28,#REF!=$AX$29),"",IF(AND('Master Data'!$I$29='Copy of GA55 Check &amp; Edit'!$AP$5),'Master Data'!$B$44,"")))),"")</f>
        <v/>
      </c>
      <c r="I10" s="113" t="str">
        <f>IFERROR(IF(#REF!="","",IF(AND(#REF!=""),"",IF(OR(#REF!=$AX$24,#REF!=$AX$25,#REF!=$AX$26,#REF!=$AX$27,#REF!=$AX$28,#REF!=$AX$29),"",IF(AND('Master Data'!$I$29='Copy of GA55 Check &amp; Edit'!$AP$5,'Master Data'!$E$29='Copy of GA55 Check &amp; Edit'!$AO$5),'Master Data'!$E$31,"0")))),"")</f>
        <v/>
      </c>
      <c r="J10" s="113" t="str">
        <f>IFERROR(IF(OR('Master Data'!$E$33=$AO$6,'Master Data'!$E$33=""),"",IF(#REF!="","",IF(AND(#REF!=""),"",IF(OR(#REF!=$AX$24,#REF!=$AX$25,#REF!=$AX$26,#REF!=$AX$27,#REF!=$AX$28,#REF!=$AX$29),"",IF(AND('Master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0" s="113" t="str">
        <f>IFERROR(IF(#REF!="","",IF(AND(#REF!=""),"",IF(OR(#REF!=$AX$24,#REF!=$AX$25,#REF!=$AX$26,#REF!=$AX$27,#REF!=$AX$28,#REF!=$AX$29),"",IF(AND('Master Data'!$I$29='Copy of GA55 Check &amp; Edit'!$AP$5),'Master Data'!$C$44,"")))),"")</f>
        <v/>
      </c>
      <c r="L10" s="113" t="str">
        <f>IFERROR(IF(#REF!="","",IF(AND(#REF!=""),"",IF(OR(#REF!=$AX$24,#REF!=$AX$25,#REF!=$AX$26,#REF!=$AX$27,#REF!=$AX$28,#REF!=$AX$29),"",IF(AND('Master Data'!$I$29='Copy of GA55 Check &amp; Edit'!$AP$6),"",'Master Data'!$D$44)))),"")</f>
        <v/>
      </c>
      <c r="M10" s="113" t="str">
        <f>IFERROR(IF(#REF!="","",IF(AND(#REF!=""),"",IF(OR(#REF!=$AX$24,#REF!=$AX$25,#REF!=$AX$26,#REF!=$AX$27,#REF!=$AX$28,#REF!=$AX$29),"",IF(AND('Master Data'!$I$29='Copy of GA55 Check &amp; Edit'!$AP$6),"",'Master Data'!$E$44)))),"")</f>
        <v/>
      </c>
      <c r="N10" s="113" t="str">
        <f>_xlfn.IFERROR(IF(#REF!="","",IF(AND('Master Data'!$I$28='Copy of GA55 Check &amp; Edit'!$AP$6),"",IF(AND('Master Data'!$I$24='Copy of GA55 Check &amp; Edit'!$AO$6),"0",IF(AND(#REF!="Bonus"),VLOOKUP(#REF!,Copy of GA55 Check &amp; Edit!ram,4,0),"")))),"")</f>
        <v>#ERROR!</v>
      </c>
      <c r="O10" s="114" t="str">
        <f>IF(#REF!="","",IF('Master Data'!$N$25="","",SUM(E10:N10)))</f>
        <v>#REF!</v>
      </c>
      <c r="P10" s="103" t="str">
        <f>_xlfn.IFERROR(IF(OR('Master Data'!$I$28='Copy of GA55 Check &amp; Edit'!$AP$6,#REF!=""),"",IF(AND(#REF!=$AX$24),"",IF(AND(#REF!=$AX$25),"",IF(AND(#REF!=$AX$26),"",IF(AND(#REF!=$AX$27),"",IF(AND(#REF!=$AX$28),"",IF(AND(#REF!=$AX$29),"",IF(AND(#REF!=""),"",VLOOKUP(#REF!,Copy of GA55 Check &amp; Edit!ram,11,0))))))))),"")</f>
        <v>#ERROR!</v>
      </c>
      <c r="Q10" s="102" t="str">
        <f>_xlfn.IFERROR(IF(AND('Master Data'!$I$28='Copy of GA55 Check &amp; Edit'!$AP$6),"",IF(AND(#REF!=$AX$25),"",IF(AND(#REF!=$AX$28),"",IF(AND(#REF!=$AX$29),"",IF(AND(#REF!=""),"",IF(AND(BB14=""),"",VLOOKUP(#REF!,Copy of GA55 Check &amp; Edit!ram,12,0))))))),"")</f>
        <v>#ERROR!</v>
      </c>
      <c r="R10" s="103" t="str">
        <f>IFERROR(IF(OR('Master Data'!$I$29='Copy of GA55 Check &amp; Edit'!$AP$6,#REF!=""),"",IF(AND(#REF!=$AX$24),"",IF(AND(#REF!=$AX$25),"",IF(AND(#REF!=$AX$26),"",IF(AND(#REF!=$AX$27),"",IF(AND(#REF!=$AX$28),"",IF(AND(#REF!=$AX$29),"",IF(AND(#REF!=""),"",'Master Data'!$I$44)))))))),"")</f>
        <v/>
      </c>
      <c r="S10" s="103" t="str">
        <f>_xlfn.IFERROR(IF(OR('Master Data'!$I$28='Copy of GA55 Check &amp; Edit'!$AP$6),"",IF(#REF!="","",IF(#REF!="","",IF(AND(#REF!=$AX$24),"",IF(AND(#REF!=$AX$25),"",IF(AND(#REF!=$AX$26),"",IF(AND(#REF!=$AX$27),"",IF(AND(#REF!=$AX$28),"",IF(AND(#REF!=$AX$29),"",VLOOKUP(#REF!,Copy of GA55 Check &amp; Edit!ram,10,0)))))))))),"")</f>
        <v>#ERROR!</v>
      </c>
      <c r="T10" s="103" t="str">
        <f>IFERROR(IF(OR('Master Data'!$I$29='Copy of GA55 Check &amp; Edit'!$AP$6,#REF!=""),"",IF(AND(#REF!=$AX$24),"",IF(AND(#REF!=$AX$25),"",IF(AND(#REF!=$AX$26),"",IF(AND(#REF!=$AX$27),"",IF(AND(#REF!=$AX$28),"",IF(AND(#REF!=$AX$29),"",IF(AND(#REF!=""),"",'Master Data'!$K$44)))))))),"")</f>
        <v/>
      </c>
      <c r="U10" s="103" t="str">
        <f>IFERROR(IF(OR('Master Data'!$I$29='Copy of GA55 Check &amp; Edit'!$AP$6,#REF!=""),"",IF(AND(#REF!=$AX$24),"",IF(AND(#REF!=$AX$25),"",IF(AND(#REF!=$AX$26),"",IF(AND(#REF!=$AX$27),"",IF(AND(#REF!=$AX$28),"",IF(AND(#REF!=$AX$29),"",IF(AND(#REF!=""),"",'Master Data'!$L$44)))))))),"")</f>
        <v/>
      </c>
      <c r="V10" s="103" t="str">
        <f>IFERROR(IF(OR('Master Data'!$I$29='Copy of GA55 Check &amp; Edit'!$AP$6,#REF!=""),"",IF(AND(#REF!=$AX$24),"",IF(AND(#REF!=$AX$25),"",IF(AND(#REF!=$AX$26),"",IF(AND(#REF!=$AX$27),"",IF(AND(#REF!=$AX$28),"",IF(AND(#REF!=$AX$29),"",IF(AND(#REF!=""),"",'Master Data'!$M$44)))))))),"")</f>
        <v/>
      </c>
      <c r="W10" s="103" t="str">
        <f>IFERROR(IF(OR('Master Data'!$I$29='Copy of GA55 Check &amp; Edit'!$AP$6,#REF!=""),"",IF(AND(#REF!=$AX$24),"",IF(AND(#REF!=$AX$25),"",IF(AND(#REF!=$AX$26),"",IF(AND(#REF!=$AX$27),"",IF(AND(#REF!=$AX$28),"",IF(AND(#REF!=$AX$29),"",IF(AND(#REF!=""),"",'Master Data'!$N$44)))))))),"")</f>
        <v/>
      </c>
      <c r="X10" s="103" t="str">
        <f>IFERROR(IF(OR('Master Data'!$I$29='Copy of GA55 Check &amp; Edit'!$AP$6,#REF!=""),"",IF(AND(#REF!=""),"",IF(AND(#REF!='Copy of GA55 Check &amp; Edit'!$AT$17,'Master Data'!$D$18="Gazetted"),500,IF(AND(#REF!='Copy of GA55 Check &amp; Edit'!$AT$17,'Master Data'!$D$18="Non-Gazetted"),250,"")))),"")</f>
        <v/>
      </c>
      <c r="Y10" s="103" t="str">
        <f>IFERROR(IF(#REF!="","",IF(AND(#REF!=""),"",IF(AND(#REF!=$AX$24),"",IF(AND(#REF!=$AX$25),"",IF(AND(#REF!=$AX$26),"",IF(AND(#REF!=$AX$27),"",IF(AND(#REF!=$AX$28),"",IF(AND(#REF!=$AX$29),"",IF(OR('Master Data'!$I$29='Copy of GA55 Check &amp; Edit'!$AP$6,#REF!=""),"",$Y$7))))))))),"")</f>
        <v/>
      </c>
      <c r="Z10" s="103" t="str">
        <f>_xlfn.IFERROR(IF(OR('Master Data'!$I$28='Copy of GA55 Check &amp; Edit'!$AP$6),"",IF(#REF!="","",IF(#REF!="","",VLOOKUP(#REF!,Copy of GA55 Check &amp; Edit!ram,9,0)))),"")</f>
        <v>#ERROR!</v>
      </c>
      <c r="AA10" s="103" t="str">
        <f>IFERROR(IF(OR('Master Data'!$I$29='Copy of GA55 Check &amp; Edit'!$AP$6,#REF!="",'Master Data'!$N$35=""),"",IF(AND(#REF!=""),"",IF(#REF!='Copy of GA55 Check &amp; Edit'!$AT$9,'Master Data'!$N$35,""))),"")</f>
        <v/>
      </c>
      <c r="AB10" s="115" t="str">
        <f>IFERROR(IF(#REF!="","",IF(AND(O10=""),"",SUM(P10:AA10))),"0")</f>
        <v>0</v>
      </c>
      <c r="AC10" s="116" t="str">
        <f t="shared" ref="AC10:AC11" si="2">IFERROR(IF(AND(#REF!="",O10="",AB10=""),"",SUM(O10-AB10)),"")</f>
        <v/>
      </c>
      <c r="AD10" s="117"/>
      <c r="AE10" s="118"/>
      <c r="AF10" s="1"/>
      <c r="AG10" s="108"/>
      <c r="AH10" s="109"/>
      <c r="AI10" s="109"/>
      <c r="AJ10" s="109"/>
      <c r="AK10" s="109"/>
      <c r="AL10" s="109"/>
      <c r="AM10" s="54"/>
      <c r="AN10" s="54"/>
      <c r="AO10" s="54"/>
      <c r="AP10" s="54"/>
      <c r="AQ10" s="54"/>
      <c r="AR10" s="54" t="s">
        <v>60</v>
      </c>
      <c r="AS10" s="54" t="s">
        <v>61</v>
      </c>
      <c r="AT10" s="89">
        <v>45778.0</v>
      </c>
      <c r="AU10" s="54" t="s">
        <v>62</v>
      </c>
      <c r="AV10" s="54"/>
      <c r="AW10" s="125" t="s">
        <v>55</v>
      </c>
      <c r="AX10" s="89">
        <v>45658.0</v>
      </c>
      <c r="AY10" s="54"/>
      <c r="AZ10" s="54"/>
      <c r="BA10" s="54">
        <f>IF(AND('Master Data'!$N$25=""),"",'Master Data'!$N$25)</f>
        <v>38000</v>
      </c>
      <c r="BB10" s="54" t="str">
        <f t="shared" ref="BB10:BB23" si="3">IF(AND(AX10&lt;$AZ$16),"",IF(AND(AX10&gt;$AZ$17),"",BA10))</f>
        <v/>
      </c>
      <c r="BC10" s="54">
        <f>IF(AND('Master Data'!$N$25=""),"",ROUND(53%*BA10,0))</f>
        <v>20140</v>
      </c>
      <c r="BD10" s="54" t="str">
        <f t="shared" ref="BD10:BD23" si="4">IF(BB10="","",BC10)</f>
        <v/>
      </c>
      <c r="BE10" s="126">
        <f>IFERROR(IF(AND('Master Data'!$N$25=""),"",ROUND('Master Data'!$E$35%*BB10,0)),"")</f>
        <v>0</v>
      </c>
      <c r="BF10" s="54"/>
      <c r="BG10" s="55">
        <f>IFERROR(IF(OR('Master Data'!$I$29='Copy of GA55 Check &amp; Edit'!$AP$6),"",'Master Data'!$J$44),"")</f>
        <v>650</v>
      </c>
      <c r="BH10" s="54" t="str">
        <f>IFERROR(IF(OR('Master Data'!$I$29='Copy of GA55 Check &amp; Edit'!$AP$6),"",'Master Data'!$G$44),"")</f>
        <v/>
      </c>
      <c r="BI10" s="127" t="str">
        <f>IFERROR(IF(OR('Master Data'!$I$29='Copy of GA55 Check &amp; Edit'!$AP$6),"",'Master Data'!$H$44),"")</f>
        <v/>
      </c>
      <c r="BJ10" s="54">
        <f t="shared" ref="BJ10:BJ16" si="5">BA10</f>
        <v>38000</v>
      </c>
      <c r="BK10" s="54"/>
      <c r="BL10" s="54">
        <f>MONTH(AZ17)</f>
        <v>2</v>
      </c>
      <c r="BM10" s="54"/>
      <c r="BN10" s="54"/>
      <c r="BO10" s="54"/>
      <c r="BP10" s="54"/>
      <c r="BQ10" s="54"/>
      <c r="BR10" s="54"/>
      <c r="BS10" s="128" t="str">
        <f>#REF!</f>
        <v>#REF!</v>
      </c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109"/>
      <c r="CJ10" s="109"/>
      <c r="CK10" s="109"/>
      <c r="CL10" s="109"/>
      <c r="CM10" s="109"/>
      <c r="CN10" s="109"/>
      <c r="CO10" s="109"/>
      <c r="CP10" s="108"/>
      <c r="CQ10" s="108"/>
      <c r="CR10" s="108"/>
      <c r="CS10" s="108"/>
      <c r="CT10" s="108"/>
    </row>
    <row r="11" ht="21.0" customHeight="1">
      <c r="A11" s="1" t="str">
        <f t="shared" si="1"/>
        <v>#REF!</v>
      </c>
      <c r="B11" s="96" t="str">
        <f t="shared" ref="B11:B28" si="6">IF(LEN(D11)&gt;=3,B10+1,0)</f>
        <v>#REF!</v>
      </c>
      <c r="C11" s="110"/>
      <c r="D11" s="111">
        <f t="shared" ref="D11:D28" si="7">IFERROR(IF(BO15="","",BO15),"")</f>
        <v>45809</v>
      </c>
      <c r="E11" s="112">
        <v>38100.0</v>
      </c>
      <c r="F11" s="113" t="str">
        <f>_xlfn.IFERROR(IF(D11="","",IF(D11=$AX$24,"",IF(AND(D11=$AX$28),"",IF(AND('Master Data'!$I$28='Copy of GA55 Check &amp; Edit'!$AP$5),VLOOKUP(D11,Copy of GA55 Check &amp; Edit!ram,7,0),"")))),"")</f>
        <v>#ERROR!</v>
      </c>
      <c r="G11" s="113" t="str">
        <f>_xlfn.IFERROR(IF(D11="","",IF(D11=$AX$24,"",IF(AND(D11=$AX$25),"",IF(AND(D11=$AX$26),"",IF(AND(D11=$AX$27),"",IF(AND(D11=$AX$28),"",IF(AND(D11=$AX$29),"",IF(AND('Master Data'!$I$28='Copy of GA55 Check &amp; Edit'!$AP$6),"",VLOOKUP(D11,Copy of GA55 Check &amp; Edit!ram,8,0))))))))),"")</f>
        <v>#ERROR!</v>
      </c>
      <c r="H11" s="113" t="str">
        <f>IFERROR(IF(D11="","",IF(AND(#REF!=""),"",IF(OR(D11=$AX$24,D11=$AX$25,D11=$AX$26,D11=$AX$27,D11=$AX$28,D11=$AX$29),"",IF(AND('Master Data'!$I$29='Copy of GA55 Check &amp; Edit'!$AP$5),'Master Data'!$B$44,"")))),"")</f>
        <v/>
      </c>
      <c r="I11" s="113" t="str">
        <f>IFERROR(IF(D11="","",IF(AND(#REF!=""),"",IF(OR(D11=$AX$24,D11=$AX$25,D11=$AX$26,D11=$AX$27,D11=$AX$28,D11=$AX$29),"",IF(AND('Master Data'!$I$29='Copy of GA55 Check &amp; Edit'!$AP$5,'Master Data'!$E$29='Copy of GA55 Check &amp; Edit'!$AO$5),'Master Data'!$E$31,"0")))),"")</f>
        <v/>
      </c>
      <c r="J11" s="113" t="str">
        <f>IFERROR(IF(OR('Master Data'!$E$33=$AO$6,'Master Data'!$E$33=""),"",IF(D11="","",IF(AND(#REF!=""),"",IF(OR(D11=$AX$24,D11=$AX$25,D11=$AX$26,D11=$AX$27,D11=$AX$28,D11=$AX$29),"",IF(AND('Master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1" s="113" t="str">
        <f>IFERROR(IF(D11="","",IF(AND(#REF!=""),"",IF(OR(D11=$AX$24,D11=$AX$25,D11=$AX$26,D11=$AX$27,D11=$AX$28,D11=$AX$29),"",IF(AND('Master Data'!$I$29='Copy of GA55 Check &amp; Edit'!$AP$5),'Master Data'!$C$44,"")))),"")</f>
        <v/>
      </c>
      <c r="L11" s="113" t="str">
        <f>IFERROR(IF(D11="","",IF(AND(#REF!=""),"",IF(OR(D11=$AX$24,D11=$AX$25,D11=$AX$26,D11=$AX$27,D11=$AX$28,D11=$AX$29),"",IF(AND('Master Data'!$I$29='Copy of GA55 Check &amp; Edit'!$AP$6),"",'Master Data'!$D$44)))),"")</f>
        <v/>
      </c>
      <c r="M11" s="113" t="str">
        <f>IFERROR(IF(D11="","",IF(AND(#REF!=""),"",IF(OR(D11=$AX$24,D11=$AX$25,D11=$AX$26,D11=$AX$27,D11=$AX$28,D11=$AX$29),"",IF(AND('Master Data'!$I$29='Copy of GA55 Check &amp; Edit'!$AP$6),"",'Master Data'!$E$44)))),"")</f>
        <v/>
      </c>
      <c r="N11" s="113" t="str">
        <f>_xlfn.IFERROR(IF(D11="","",IF(AND('Master Data'!$I$28='Copy of GA55 Check &amp; Edit'!$AP$6),"",IF(AND('Master Data'!$I$24='Copy of GA55 Check &amp; Edit'!$AO$6),"0",IF(AND(D11="Bonus"),VLOOKUP(D11,Copy of GA55 Check &amp; Edit!ram,4,0),"")))),"")</f>
        <v>#ERROR!</v>
      </c>
      <c r="O11" s="114" t="str">
        <f>IF(D11="","",IF('Master Data'!$N$25="","",SUM(E11:N11)))</f>
        <v>#ERROR!</v>
      </c>
      <c r="P11" s="103" t="str">
        <f>_xlfn.IFERROR(IF(OR('Master Data'!$I$28='Copy of GA55 Check &amp; Edit'!$AP$6,D11=""),"",IF(AND(D11=$AX$24),"",IF(AND(D11=$AX$25),"",IF(AND(D11=$AX$26),"",IF(AND(D11=$AX$27),"",IF(AND(D11=$AX$28),"",IF(AND(D11=$AX$29),"",IF(AND(#REF!=""),"",VLOOKUP(D11,Copy of GA55 Check &amp; Edit!ram,11,0))))))))),"")</f>
        <v>#ERROR!</v>
      </c>
      <c r="Q11" s="102" t="str">
        <f>_xlfn.IFERROR(IF(AND('Master Data'!$I$28='Copy of GA55 Check &amp; Edit'!$AP$6),"",IF(AND(D11=$AX$25),"",IF(AND(D11=$AX$28),"",IF(AND(D11=$AX$29),"",IF(AND(D11=""),"",IF(AND(BB15=""),"",VLOOKUP(D11,Copy of GA55 Check &amp; Edit!ram,12,0))))))),"")</f>
        <v>#ERROR!</v>
      </c>
      <c r="R11" s="103" t="str">
        <f>IFERROR(IF(OR('Master Data'!$I$29='Copy of GA55 Check &amp; Edit'!$AP$6,D11=""),"",IF(AND(D11=$AX$24),"",IF(AND(D11=$AX$25),"",IF(AND(D11=$AX$26),"",IF(AND(D11=$AX$27),"",IF(AND(D11=$AX$28),"",IF(AND(D11=$AX$29),"",IF(AND(#REF!=""),"",'Master Data'!$I$44)))))))),"")</f>
        <v/>
      </c>
      <c r="S11" s="103" t="str">
        <f>_xlfn.IFERROR(IF(OR('Master Data'!$I$28='Copy of GA55 Check &amp; Edit'!$AP$6),"",IF(D11="","",IF(#REF!="","",IF(AND(D11=$AX$24),"",IF(AND(D11=$AX$25),"",IF(AND(D11=$AX$26),"",IF(AND(D11=$AX$27),"",IF(AND(D11=$AX$28),"",IF(AND(D11=$AX$29),"",VLOOKUP(D11,Copy of GA55 Check &amp; Edit!ram,10,0)))))))))),"")</f>
        <v>#ERROR!</v>
      </c>
      <c r="T11" s="103" t="str">
        <f>IFERROR(IF(OR('Master Data'!$I$29='Copy of GA55 Check &amp; Edit'!$AP$6,D11=""),"",IF(AND(D11=$AX$24),"",IF(AND(D11=$AX$25),"",IF(AND(D11=$AX$26),"",IF(AND(D11=$AX$27),"",IF(AND(D11=$AX$28),"",IF(AND(D11=$AX$29),"",IF(AND(#REF!=""),"",'Master Data'!$K$44)))))))),"")</f>
        <v/>
      </c>
      <c r="U11" s="103" t="str">
        <f>IFERROR(IF(OR('Master Data'!$I$29='Copy of GA55 Check &amp; Edit'!$AP$6,D11=""),"",IF(AND(D11=$AX$24),"",IF(AND(D11=$AX$25),"",IF(AND(D11=$AX$26),"",IF(AND(D11=$AX$27),"",IF(AND(D11=$AX$28),"",IF(AND(D11=$AX$29),"",IF(AND(#REF!=""),"",'Master Data'!$L$44)))))))),"")</f>
        <v/>
      </c>
      <c r="V11" s="103" t="str">
        <f>IFERROR(IF(OR('Master Data'!$I$29='Copy of GA55 Check &amp; Edit'!$AP$6,D11=""),"",IF(AND(D11=$AX$24),"",IF(AND(D11=$AX$25),"",IF(AND(D11=$AX$26),"",IF(AND(D11=$AX$27),"",IF(AND(D11=$AX$28),"",IF(AND(D11=$AX$29),"",IF(AND(#REF!=""),"",'Master Data'!$M$44)))))))),"")</f>
        <v/>
      </c>
      <c r="W11" s="103" t="str">
        <f>IFERROR(IF(OR('Master Data'!$I$29='Copy of GA55 Check &amp; Edit'!$AP$6,D11=""),"",IF(AND(D11=$AX$24),"",IF(AND(D11=$AX$25),"",IF(AND(D11=$AX$26),"",IF(AND(D11=$AX$27),"",IF(AND(D11=$AX$28),"",IF(AND(D11=$AX$29),"",IF(AND(#REF!=""),"",'Master Data'!$N$44)))))))),"")</f>
        <v/>
      </c>
      <c r="X11" s="103" t="str">
        <f>IFERROR(IF(OR('Master Data'!$I$29='Copy of GA55 Check &amp; Edit'!$AP$6,D11=""),"",IF(AND(#REF!=""),"",IF(AND('Copy of GA55 Check &amp; Edit'!D11='Copy of GA55 Check &amp; Edit'!$AT$17,'Master Data'!$D$18="Gazetted"),500,IF(AND('Copy of GA55 Check &amp; Edit'!D11='Copy of GA55 Check &amp; Edit'!$AT$17,'Master Data'!$D$18="Non-Gazetted"),250,"")))),"")</f>
        <v/>
      </c>
      <c r="Y11" s="103" t="str">
        <f>IFERROR(IF(D11="","",IF(AND(#REF!=""),"",IF(AND(D11=$AX$24),"",IF(AND(D11=$AX$25),"",IF(AND(D11=$AX$26),"",IF(AND(D11=$AX$27),"",IF(AND(D11=$AX$28),"",IF(AND(D11=$AX$29),"",IF(OR('Master Data'!$I$29='Copy of GA55 Check &amp; Edit'!$AP$6,D11=""),"",$Y$7))))))))),"")</f>
        <v/>
      </c>
      <c r="Z11" s="103" t="str">
        <f>_xlfn.IFERROR(IF(OR('Master Data'!$I$28='Copy of GA55 Check &amp; Edit'!$AP$6),"",IF(D11="","",IF(#REF!="","",VLOOKUP(D11,Copy of GA55 Check &amp; Edit!ram,9,0)))),"")</f>
        <v>#ERROR!</v>
      </c>
      <c r="AA11" s="103" t="str">
        <f>IFERROR(IF(OR('Master Data'!$I$29='Copy of GA55 Check &amp; Edit'!$AP$6,D11="",'Master Data'!$N$35=""),"",IF(AND(#REF!=""),"",IF('Copy of GA55 Check &amp; Edit'!D11='Copy of GA55 Check &amp; Edit'!$AT$9,'Master Data'!$N$35,""))),"")</f>
        <v/>
      </c>
      <c r="AB11" s="115" t="str">
        <f t="shared" ref="AB11:AB28" si="8">IFERROR(IF(D11="","",IF(AND(O11=""),"",SUM(P11:AA11))),"0")</f>
        <v>0</v>
      </c>
      <c r="AC11" s="116" t="str">
        <f t="shared" si="2"/>
        <v/>
      </c>
      <c r="AD11" s="117"/>
      <c r="AE11" s="118"/>
      <c r="AF11" s="1"/>
      <c r="AG11" s="108"/>
      <c r="AH11" s="109"/>
      <c r="AI11" s="109"/>
      <c r="AJ11" s="109"/>
      <c r="AK11" s="109"/>
      <c r="AL11" s="109"/>
      <c r="AM11" s="54"/>
      <c r="AN11" s="54"/>
      <c r="AO11" s="54"/>
      <c r="AP11" s="54"/>
      <c r="AQ11" s="54"/>
      <c r="AR11" s="54" t="s">
        <v>63</v>
      </c>
      <c r="AS11" s="54" t="s">
        <v>64</v>
      </c>
      <c r="AT11" s="89">
        <v>45809.0</v>
      </c>
      <c r="AU11" s="54" t="s">
        <v>65</v>
      </c>
      <c r="AV11" s="54"/>
      <c r="AW11" s="125" t="s">
        <v>58</v>
      </c>
      <c r="AX11" s="89">
        <v>45689.0</v>
      </c>
      <c r="AY11" s="54"/>
      <c r="AZ11" s="129"/>
      <c r="BA11" s="54">
        <f>IF(AND('Master Data'!$N$25=""),"",'Master Data'!$N$25)</f>
        <v>38000</v>
      </c>
      <c r="BB11" s="54" t="str">
        <f t="shared" si="3"/>
        <v/>
      </c>
      <c r="BC11" s="54">
        <f>IF(AND('Master Data'!$N$25=""),"",ROUND(53%*BA11,0))</f>
        <v>20140</v>
      </c>
      <c r="BD11" s="54" t="str">
        <f t="shared" si="4"/>
        <v/>
      </c>
      <c r="BE11" s="126">
        <f>IFERROR(IF(AND('Master Data'!$N$25=""),"",ROUND('Master Data'!$E$35%*BB11,0)),"")</f>
        <v>0</v>
      </c>
      <c r="BF11" s="54"/>
      <c r="BG11" s="55">
        <f>IFERROR(IF(OR('Master Data'!$I$29='Copy of GA55 Check &amp; Edit'!$AP$6),"",IF('Master Data'!$I$31="GPF-2004",IF(BB11&lt;18001,135,IF(BB11&lt;33501,220,IF(BB11&lt;54001,330,440))),IF(AND('Master Data'!$I$31="GPF",'Master Data'!$J$44=""),IF(BB11&lt;18001,265,IF(BB11&lt;33501,440,IF(BB11&lt;54001,658,875))),'Master Data'!$J$44))),"")</f>
        <v>440</v>
      </c>
      <c r="BH11" s="54" t="str">
        <f>IFERROR(IF(OR('Master Data'!$I$29='Copy of GA55 Check &amp; Edit'!$AP$6),"",'Master Data'!$G$44),"")</f>
        <v/>
      </c>
      <c r="BI11" s="127" t="str">
        <f>IFERROR(IF(OR('Master Data'!$I$29='Copy of GA55 Check &amp; Edit'!$AP$6),"",'Master Data'!$H$44),"")</f>
        <v/>
      </c>
      <c r="BJ11" s="54">
        <f t="shared" si="5"/>
        <v>38000</v>
      </c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109"/>
      <c r="CJ11" s="109"/>
      <c r="CK11" s="109"/>
      <c r="CL11" s="109"/>
      <c r="CM11" s="109"/>
      <c r="CN11" s="109"/>
      <c r="CO11" s="109"/>
      <c r="CP11" s="108"/>
      <c r="CQ11" s="108"/>
      <c r="CR11" s="108"/>
      <c r="CS11" s="108"/>
      <c r="CT11" s="108"/>
    </row>
    <row r="12" ht="21.0" customHeight="1">
      <c r="A12" s="1" t="str">
        <f t="shared" si="1"/>
        <v>#REF!</v>
      </c>
      <c r="B12" s="96" t="str">
        <f t="shared" si="6"/>
        <v>#REF!</v>
      </c>
      <c r="C12" s="148"/>
      <c r="D12" s="111">
        <f t="shared" si="7"/>
        <v>45839</v>
      </c>
      <c r="E12" s="147"/>
      <c r="F12" s="113" t="str">
        <f>_xlfn.IFERROR(IF(D12="","",IF(D12=$AX$24,"",IF(AND(D12=$AX$28),"",IF(AND('Master Data'!$I$28='Copy of GA55 Check &amp; Edit'!$AP$5),VLOOKUP(D12,Copy of GA55 Check &amp; Edit!ram,7,0),"")))),"")</f>
        <v>#ERROR!</v>
      </c>
      <c r="G12" s="113" t="str">
        <f>_xlfn.IFERROR(IF(D12="","",IF(D12=$AX$24,"",IF(AND(D12=$AX$25),"",IF(AND(D12=$AX$26),"",IF(AND(D12=$AX$27),"",IF(AND(D12=$AX$28),"",IF(AND(D12=$AX$29),"",IF(AND('Master Data'!$I$28='Copy of GA55 Check &amp; Edit'!$AP$6),"",VLOOKUP(D12,Copy of GA55 Check &amp; Edit!ram,8,0))))))))),"")</f>
        <v>#ERROR!</v>
      </c>
      <c r="H12" s="113" t="str">
        <f>IFERROR(IF(D12="","",IF(AND(E12=""),"",IF(OR(D12=$AX$24,D12=$AX$25,D12=$AX$26,D12=$AX$27,D12=$AX$28,D12=$AX$29),"",IF(AND('Master Data'!$I$29='Copy of GA55 Check &amp; Edit'!$AP$5),'Master Data'!$B$44,"")))),"")</f>
        <v/>
      </c>
      <c r="I12" s="113" t="str">
        <f>IFERROR(IF(D12="","",IF(AND(E12=""),"",IF(OR(D12=$AX$24,D12=$AX$25,D12=$AX$26,D12=$AX$27,D12=$AX$28,D12=$AX$29),"",IF(AND('Master Data'!$I$29='Copy of GA55 Check &amp; Edit'!$AP$5,'Master Data'!$E$29='Copy of GA55 Check &amp; Edit'!$AO$5),'Master Data'!$E$31,"0")))),"")</f>
        <v/>
      </c>
      <c r="J12" s="113" t="str">
        <f>IFERROR(IF(OR('Master Data'!$E$33=$AO$6,'Master Data'!$E$33=""),"",IF(D12="","",IF(AND(E12=""),"",IF(OR(D12=$AX$24,D12=$AX$25,D12=$AX$26,D12=$AX$27,D12=$AX$28,D12=$AX$29),"",IF(AND('Master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2" s="113" t="str">
        <f>IFERROR(IF(D12="","",IF(AND(E12=""),"",IF(OR(D12=$AX$24,D12=$AX$25,D12=$AX$26,D12=$AX$27,D12=$AX$28,D12=$AX$29),"",IF(AND('Master Data'!$I$29='Copy of GA55 Check &amp; Edit'!$AP$5),'Master Data'!$C$44,"")))),"")</f>
        <v/>
      </c>
      <c r="L12" s="113" t="str">
        <f>IFERROR(IF(D12="","",IF(AND(E12=""),"",IF(OR(D12=$AX$24,D12=$AX$25,D12=$AX$26,D12=$AX$27,D12=$AX$28,D12=$AX$29),"",IF(AND('Master Data'!$I$29='Copy of GA55 Check &amp; Edit'!$AP$6),"",'Master Data'!$D$44)))),"")</f>
        <v/>
      </c>
      <c r="M12" s="113" t="str">
        <f>IFERROR(IF(D12="","",IF(AND(E12=""),"",IF(OR(D12=$AX$24,D12=$AX$25,D12=$AX$26,D12=$AX$27,D12=$AX$28,D12=$AX$29),"",IF(AND('Master Data'!$I$29='Copy of GA55 Check &amp; Edit'!$AP$6),"",'Master Data'!$E$44)))),"")</f>
        <v/>
      </c>
      <c r="N12" s="113" t="str">
        <f>_xlfn.IFERROR(IF(D12="","",IF(AND('Master Data'!$I$28='Copy of GA55 Check &amp; Edit'!$AP$6),"",IF(AND('Master Data'!$I$24='Copy of GA55 Check &amp; Edit'!$AO$6),"0",IF(AND(D12="Bonus"),VLOOKUP(D12,Copy of GA55 Check &amp; Edit!ram,4,0),"")))),"")</f>
        <v>#ERROR!</v>
      </c>
      <c r="O12" s="114" t="str">
        <f>IF(D12="","",IF('Master Data'!$N$25="","",SUM(E12:N12)))</f>
        <v>#ERROR!</v>
      </c>
      <c r="P12" s="103" t="str">
        <f>_xlfn.IFERROR(IF(OR('Master Data'!$I$28='Copy of GA55 Check &amp; Edit'!$AP$6,D12=""),"",IF(AND(D12=$AX$24),"",IF(AND(D12=$AX$25),"",IF(AND(D12=$AX$26),"",IF(AND(D12=$AX$27),"",IF(AND(D12=$AX$28),"",IF(AND(D12=$AX$29),"",IF(AND(E12=""),"",VLOOKUP(D12,Copy of GA55 Check &amp; Edit!ram,11,0))))))))),"")</f>
        <v>#ERROR!</v>
      </c>
      <c r="Q12" s="102" t="str">
        <f>_xlfn.IFERROR(IF(AND('Master Data'!$I$28='Copy of GA55 Check &amp; Edit'!$AP$6),"",IF(AND(D12=$AX$25),"",IF(AND(D12=$AX$28),"",IF(AND(D12=$AX$29),"",IF(AND(D12=""),"",IF(AND(BB16=""),"",VLOOKUP(D12,Copy of GA55 Check &amp; Edit!ram,12,0))))))),"")</f>
        <v>#ERROR!</v>
      </c>
      <c r="R12" s="103" t="str">
        <f>IFERROR(IF(OR('Master Data'!$I$29='Copy of GA55 Check &amp; Edit'!$AP$6,D12=""),"",IF(AND(D12=$AX$24),"",IF(AND(D12=$AX$25),"",IF(AND(D12=$AX$26),"",IF(AND(D12=$AX$27),"",IF(AND(D12=$AX$28),"",IF(AND(D12=$AX$29),"",IF(AND(E12=""),"",'Master Data'!$I$44)))))))),"")</f>
        <v/>
      </c>
      <c r="S12" s="103" t="str">
        <f>_xlfn.IFERROR(IF(OR('Master Data'!$I$28='Copy of GA55 Check &amp; Edit'!$AP$6),"",IF(D12="","",IF(E12="","",IF(AND(D12=$AX$24),"",IF(AND(D12=$AX$25),"",IF(AND(D12=$AX$26),"",IF(AND(D12=$AX$27),"",IF(AND(D12=$AX$28),"",IF(AND(D12=$AX$29),"",VLOOKUP(D12,Copy of GA55 Check &amp; Edit!ram,10,0)))))))))),"")</f>
        <v>#ERROR!</v>
      </c>
      <c r="T12" s="103" t="str">
        <f>IFERROR(IF(OR('Master Data'!$I$29='Copy of GA55 Check &amp; Edit'!$AP$6,D12=""),"",IF(AND(D12=$AX$24),"",IF(AND(D12=$AX$25),"",IF(AND(D12=$AX$26),"",IF(AND(D12=$AX$27),"",IF(AND(D12=$AX$28),"",IF(AND(D12=$AX$29),"",IF(AND(E12=""),"",'Master Data'!$K$44)))))))),"")</f>
        <v/>
      </c>
      <c r="U12" s="103" t="str">
        <f>IFERROR(IF(OR('Master Data'!$I$29='Copy of GA55 Check &amp; Edit'!$AP$6,D12=""),"",IF(AND(D12=$AX$24),"",IF(AND(D12=$AX$25),"",IF(AND(D12=$AX$26),"",IF(AND(D12=$AX$27),"",IF(AND(D12=$AX$28),"",IF(AND(D12=$AX$29),"",IF(AND(E12=""),"",'Master Data'!$L$44)))))))),"")</f>
        <v/>
      </c>
      <c r="V12" s="103" t="str">
        <f>IFERROR(IF(OR('Master Data'!$I$29='Copy of GA55 Check &amp; Edit'!$AP$6,D12=""),"",IF(AND(D12=$AX$24),"",IF(AND(D12=$AX$25),"",IF(AND(D12=$AX$26),"",IF(AND(D12=$AX$27),"",IF(AND(D12=$AX$28),"",IF(AND(D12=$AX$29),"",IF(AND(E12=""),"",'Master Data'!$M$44)))))))),"")</f>
        <v/>
      </c>
      <c r="W12" s="103" t="str">
        <f>IFERROR(IF(OR('Master Data'!$I$29='Copy of GA55 Check &amp; Edit'!$AP$6,D12=""),"",IF(AND(D12=$AX$24),"",IF(AND(D12=$AX$25),"",IF(AND(D12=$AX$26),"",IF(AND(D12=$AX$27),"",IF(AND(D12=$AX$28),"",IF(AND(D12=$AX$29),"",IF(AND(E12=""),"",'Master Data'!$N$44)))))))),"")</f>
        <v/>
      </c>
      <c r="X12" s="103" t="str">
        <f>IFERROR(IF(OR('Master Data'!$I$29='Copy of GA55 Check &amp; Edit'!$AP$6,D12=""),"",IF(AND(E12=""),"",IF(AND('Copy of GA55 Check &amp; Edit'!D12='Copy of GA55 Check &amp; Edit'!$AT$17,'Master Data'!$D$18="Gazetted"),500,IF(AND('Copy of GA55 Check &amp; Edit'!D12='Copy of GA55 Check &amp; Edit'!$AT$17,'Master Data'!$D$18="Non-Gazetted"),250,"")))),"")</f>
        <v/>
      </c>
      <c r="Y12" s="103" t="str">
        <f>IFERROR(IF(D12="","",IF(AND(E12=""),"",IF(AND(D12=$AX$24),"",IF(AND(D12=$AX$25),"",IF(AND(D12=$AX$26),"",IF(AND(D12=$AX$27),"",IF(AND(D12=$AX$28),"",IF(AND(D12=$AX$29),"",IF(OR('Master Data'!$I$29='Copy of GA55 Check &amp; Edit'!$AP$6,D12=""),"",$Y$7))))))))),"")</f>
        <v/>
      </c>
      <c r="Z12" s="103" t="str">
        <f>_xlfn.IFERROR(IF(OR('Master Data'!$I$28='Copy of GA55 Check &amp; Edit'!$AP$6),"",IF(D12="","",IF(E12="","",VLOOKUP(D12,Copy of GA55 Check &amp; Edit!ram,9,0)))),"")</f>
        <v>#ERROR!</v>
      </c>
      <c r="AA12" s="103" t="str">
        <f>IFERROR(IF(OR('Master Data'!$I$29='Copy of GA55 Check &amp; Edit'!$AP$6,D12="",'Master Data'!$N$35=""),"",IF(AND(E12=""),"",IF('Copy of GA55 Check &amp; Edit'!D12='Copy of GA55 Check &amp; Edit'!$AT$9,'Master Data'!$N$35,""))),"")</f>
        <v/>
      </c>
      <c r="AB12" s="115" t="str">
        <f t="shared" si="8"/>
        <v>0</v>
      </c>
      <c r="AC12" s="116" t="str">
        <f t="shared" ref="AC12:AC28" si="9">IFERROR(IF(AND(E12="",O12="",AB12=""),"",SUM(O12-AB12)),"")</f>
        <v/>
      </c>
      <c r="AD12" s="117"/>
      <c r="AE12" s="118"/>
      <c r="AF12" s="1"/>
      <c r="AG12" s="108"/>
      <c r="AH12" s="109"/>
      <c r="AI12" s="109"/>
      <c r="AJ12" s="109"/>
      <c r="AK12" s="109"/>
      <c r="AL12" s="109"/>
      <c r="AM12" s="54"/>
      <c r="AN12" s="54"/>
      <c r="AO12" s="54"/>
      <c r="AP12" s="54"/>
      <c r="AQ12" s="54"/>
      <c r="AR12" s="54" t="s">
        <v>66</v>
      </c>
      <c r="AS12" s="54" t="s">
        <v>67</v>
      </c>
      <c r="AT12" s="89">
        <v>45839.0</v>
      </c>
      <c r="AU12" s="54" t="s">
        <v>68</v>
      </c>
      <c r="AV12" s="54"/>
      <c r="AW12" s="125" t="s">
        <v>61</v>
      </c>
      <c r="AX12" s="89">
        <v>45717.0</v>
      </c>
      <c r="AY12" s="54">
        <v>3.0</v>
      </c>
      <c r="AZ12" s="54"/>
      <c r="BA12" s="55">
        <f>IF(AND('Master Data'!$N$25=""),"",IF(AND('Master Data'!$N$27='Copy of GA55 Check &amp; Edit'!$AP$6),'Copy of GA55 Check &amp; Edit'!$AZ$15,BU12))</f>
        <v>38000</v>
      </c>
      <c r="BB12" s="55">
        <f t="shared" si="3"/>
        <v>38000</v>
      </c>
      <c r="BC12" s="54">
        <f>IF(AND('Master Data'!$N$25=""),"",ROUND(53%*BA12,0))</f>
        <v>20140</v>
      </c>
      <c r="BD12" s="54">
        <f t="shared" si="4"/>
        <v>20140</v>
      </c>
      <c r="BE12" s="126">
        <f>IFERROR(IF(AND('Master Data'!$N$25=""),"",ROUND('Master Data'!$E$35%*BB12,0)),"")</f>
        <v>3800</v>
      </c>
      <c r="BF12" s="55" t="str">
        <f>'Master Data'!C48</f>
        <v/>
      </c>
      <c r="BG12" s="55">
        <f>IFERROR(IF(OR('Master Data'!$I$29='Copy of GA55 Check &amp; Edit'!$AP$6),"",IF('Master Data'!$I$31="GPF-2004",IF(BB12&lt;18001,265,IF(BB12&lt;33501,440,IF(BB12&lt;54001,658,875))),IF(AND('Master Data'!$I$31="GPF",'Master Data'!$J$44=""),IF(BB12&lt;18001,265,IF(BB12&lt;33501,440,IF(BB12&lt;54001,658,875))),'Master Data'!$J$44))),"")</f>
        <v>658</v>
      </c>
      <c r="BH12" s="54" t="str">
        <f>IFERROR(IF(OR('Master Data'!$I$29='Copy of GA55 Check &amp; Edit'!$AP$6),"",'Master Data'!$G$44),"")</f>
        <v/>
      </c>
      <c r="BI12" s="127">
        <f>IFERROR(IF(OR('Master Data'!$I$29='Copy of GA55 Check &amp; Edit'!$AP$6),"",IF('Master Data'!$I$31="GPF-2004",IF(BB12&lt;23101,1450,IF(BB12&lt;28501,1625,IF(BB12&lt;38501,2100,IF(BB12&lt;51501,2850,IF(BB12&lt;62001,3575,IF(BB12&lt;72001,4200,IF(BB12&lt;80001,4800,IF(BB12&lt;116001,6150,IF(BB12&lt;167001,8900,10500))))))))),'Master Data'!$H$44)),"")</f>
        <v>2100</v>
      </c>
      <c r="BJ12" s="55">
        <f t="shared" si="5"/>
        <v>38000</v>
      </c>
      <c r="BK12" s="130">
        <v>45717.0</v>
      </c>
      <c r="BL12" s="130">
        <f>IFERROR(IF('Master Data'!$N$25="","",IF('Master Data'!$F$41="","",IF(AND($AZ$17&gt;$AZ$9),"",DATE(YEAR(AZ16),MONTH(AZ16),DAY(AZ16))))),"")</f>
        <v>45717</v>
      </c>
      <c r="BM12" s="130">
        <f>IFERROR(IF('Master Data'!$N$25="","",IF('Master Data'!$F$41="","",IF(AND($AZ$17&gt;$AZ$9),"",DATE(YEAR(AZ16),MONTH(AZ16),DAY(AZ16))))),"")</f>
        <v>45717</v>
      </c>
      <c r="BN12" s="130">
        <f t="shared" ref="BN12:BN32" si="10">IF(AND(BM12=""),"",IF(AND(BM12=$BK$12),$BK$12,IF(AND(BM12=$BK$13),$BK$13,IF(AND(BM12=$BK$14),$BK$14,IF(AND(BM12=$BK$15),$BK$15,IF(AND(BM12=$BK$16),$BK$16,IF(AND(BM12=$BK$17),$BK$17,IF(AND(BM12=$BK$18),$BK$18,IF(AND(BM12=$BK$19),$BK$19,IF(AND(BM12=$BK$20),$BK$20,IF(AND(BM12=$BK$21),$BK$21,IF(AND(BM12=$BK$22),$BK$22,IF(AND(BM12=$BK$23),$BK$23,IF(AND(BM12=$BK$24),$BM$24,IF(AND(BM12=$BK$25),$BM$25,IF(AND(BM12=$BK$26),$BM$26,IF(AND(BM12=$BK$27),$BM$27,IF(AND(BM12=$BK$28),$BM$28,IF(AND(BM12=$BK$29),$BM$29,IF(AND(BM12=$BK$30),$BM$30,IF(AND(BM12=$BK$31),$BM$31,IF(AND(BM12=$BK$32),$BM$32,""))))))))))))))))))))))</f>
        <v>45717</v>
      </c>
      <c r="BO12" s="130">
        <f>IFERROR(IF(BM12="","",IF(AND(BL12=$BK$24),$BM$24,IF(AND(BL12=$BK$25),$BM$25,IF(AND(BL12=$BK$26),$BM$26,IF(AND(BL12=$BK$27),$BM$27,IF(AND(BL12=$BK$28),$BM$28,IF(AND(BL12=$BK$29),$BM$29,IF(AND(BL12=$BK$30),$BM$30,IF(AND(BL12=$BK$31),$BM$31,IF(AND(BL12=$BK$32),$BM$32,BN12)))))))))),"")</f>
        <v>45717</v>
      </c>
      <c r="BP12" s="130"/>
      <c r="BQ12" s="130" t="str">
        <f>IFERROR(IF(BM12="","",IF(#REF!=$AX$25,$AX$25,IF(#REF!=$AX$30,$AX$30,IF(#REF!=$AX$31,$AX$31,IF(#REF!=$AX$32,$AX$32,IF(BM12&gt;$AZ$17,"",BM12)))))),"")</f>
        <v/>
      </c>
      <c r="BR12" s="130"/>
      <c r="BS12" s="55" t="str">
        <f t="shared" ref="BS12:BS13" si="11">OFFSET(D6,MATCH(BO12,$D$9:$D$27,0)+1,MATCH(BO12,D8:N8,0))</f>
        <v>#N/A</v>
      </c>
      <c r="BT12" s="55"/>
      <c r="BU12" s="55">
        <f>IF(AND('Master Data'!$N$25=""),"",IF(AND('Master Data'!$N$27='Copy of GA55 Check &amp; Edit'!AX12),'Master Data'!$N$31,'Master Data'!$N$25))</f>
        <v>38000</v>
      </c>
      <c r="BV12" s="130"/>
      <c r="BW12" s="54"/>
      <c r="BX12" s="55" t="str">
        <f t="shared" ref="BX12:BX23" si="12">IF(BB12="",0,BF12)</f>
        <v/>
      </c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109"/>
      <c r="CJ12" s="109"/>
      <c r="CK12" s="109"/>
      <c r="CL12" s="109"/>
      <c r="CM12" s="109"/>
      <c r="CN12" s="109"/>
      <c r="CO12" s="109"/>
      <c r="CP12" s="108"/>
      <c r="CQ12" s="108"/>
      <c r="CR12" s="108"/>
      <c r="CS12" s="108"/>
      <c r="CT12" s="108"/>
    </row>
    <row r="13" ht="21.0" customHeight="1">
      <c r="A13" s="1" t="str">
        <f t="shared" si="1"/>
        <v>#REF!</v>
      </c>
      <c r="B13" s="96" t="str">
        <f t="shared" si="6"/>
        <v>#REF!</v>
      </c>
      <c r="D13" s="111">
        <f t="shared" si="7"/>
        <v>45870</v>
      </c>
      <c r="E13" s="147">
        <v>104900.0</v>
      </c>
      <c r="F13" s="113" t="str">
        <f>_xlfn.IFERROR(IF(D13="","",IF(D13=$AX$24,"",IF(AND(D13=$AX$28),"",IF(AND('Master Data'!$I$28='Copy of GA55 Check &amp; Edit'!$AP$5),VLOOKUP(D13,Copy of GA55 Check &amp; Edit!ram,7,0),"")))),"")</f>
        <v>#ERROR!</v>
      </c>
      <c r="G13" s="113" t="str">
        <f>_xlfn.IFERROR(IF(D13="","",IF(D13=$AX$24,"",IF(AND(D13=$AX$25),"",IF(AND(D13=$AX$26),"",IF(AND(D13=$AX$27),"",IF(AND(D13=$AX$28),"",IF(AND(D13=$AX$29),"",IF(AND('Master Data'!$I$28='Copy of GA55 Check &amp; Edit'!$AP$6),"",VLOOKUP(D13,Copy of GA55 Check &amp; Edit!ram,8,0))))))))),"")</f>
        <v>#ERROR!</v>
      </c>
      <c r="H13" s="113" t="str">
        <f>IFERROR(IF(D13="","",IF(AND(E13=""),"",IF(OR(D13=$AX$24,D13=$AX$25,D13=$AX$26,D13=$AX$27,D13=$AX$28,D13=$AX$29),"",IF(AND('Master Data'!$I$29='Copy of GA55 Check &amp; Edit'!$AP$5),'Master Data'!$B$44,"")))),"")</f>
        <v/>
      </c>
      <c r="I13" s="113" t="str">
        <f>IFERROR(IF(D13="","",IF(AND(E13=""),"",IF(OR(D13=$AX$24,D13=$AX$25,D13=$AX$26,D13=$AX$27,D13=$AX$28,D13=$AX$29),"",IF(AND('Master Data'!$I$29='Copy of GA55 Check &amp; Edit'!$AP$5,'Master Data'!$E$29='Copy of GA55 Check &amp; Edit'!$AO$5),'Master Data'!$E$31,"0")))),"")</f>
        <v>0</v>
      </c>
      <c r="J13" s="113" t="str">
        <f>IFERROR(IF(OR('Master Data'!$E$33=$AO$6,'Master Data'!$E$33=""),"",IF(D13="","",IF(AND(E13=""),"",IF(OR(D13=$AX$24,D13=$AX$25,D13=$AX$26,D13=$AX$27,D13=$AX$28,D13=$AX$29),"",IF(AND('Master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3" s="113" t="str">
        <f>IFERROR(IF(D13="","",IF(AND(E13=""),"",IF(OR(D13=$AX$24,D13=$AX$25,D13=$AX$26,D13=$AX$27,D13=$AX$28,D13=$AX$29),"",IF(AND('Master Data'!$I$29='Copy of GA55 Check &amp; Edit'!$AP$5),'Master Data'!$C$44,"")))),"")</f>
        <v/>
      </c>
      <c r="L13" s="113" t="str">
        <f>IFERROR(IF(D13="","",IF(AND(E13=""),"",IF(OR(D13=$AX$24,D13=$AX$25,D13=$AX$26,D13=$AX$27,D13=$AX$28,D13=$AX$29),"",IF(AND('Master Data'!$I$29='Copy of GA55 Check &amp; Edit'!$AP$6),"",'Master Data'!$D$44)))),"")</f>
        <v/>
      </c>
      <c r="M13" s="113" t="str">
        <f>IFERROR(IF(D13="","",IF(AND(E13=""),"",IF(OR(D13=$AX$24,D13=$AX$25,D13=$AX$26,D13=$AX$27,D13=$AX$28,D13=$AX$29),"",IF(AND('Master Data'!$I$29='Copy of GA55 Check &amp; Edit'!$AP$6),"",'Master Data'!$E$44)))),"")</f>
        <v/>
      </c>
      <c r="N13" s="113" t="str">
        <f>_xlfn.IFERROR(IF(D13="","",IF(AND('Master Data'!$I$28='Copy of GA55 Check &amp; Edit'!$AP$6),"",IF(AND('Master Data'!$I$24='Copy of GA55 Check &amp; Edit'!$AO$6),"0",IF(AND(D13="Bonus"),VLOOKUP(D13,Copy of GA55 Check &amp; Edit!ram,4,0),"")))),"")</f>
        <v>#ERROR!</v>
      </c>
      <c r="O13" s="114" t="str">
        <f>IF(D13="","",IF('Master Data'!$N$25="","",SUM(E13:N13)))</f>
        <v>#ERROR!</v>
      </c>
      <c r="P13" s="103" t="str">
        <f>_xlfn.IFERROR(IF(OR('Master Data'!$I$28='Copy of GA55 Check &amp; Edit'!$AP$6,D13=""),"",IF(AND(D13=$AX$24),"",IF(AND(D13=$AX$25),"",IF(AND(D13=$AX$26),"",IF(AND(D13=$AX$27),"",IF(AND(D13=$AX$28),"",IF(AND(D13=$AX$29),"",IF(AND(E13=""),"",VLOOKUP(D13,Copy of GA55 Check &amp; Edit!ram,11,0))))))))),"")</f>
        <v>#ERROR!</v>
      </c>
      <c r="Q13" s="102" t="str">
        <f>_xlfn.IFERROR(IF(AND('Master Data'!$I$28='Copy of GA55 Check &amp; Edit'!$AP$6),"",IF(AND(D13=$AX$25),"",IF(AND(D13=$AX$28),"",IF(AND(D13=$AX$29),"",IF(AND(D13=""),"",IF(AND(BB17=""),"",VLOOKUP(D13,Copy of GA55 Check &amp; Edit!ram,12,0))))))),"")</f>
        <v>#ERROR!</v>
      </c>
      <c r="R13" s="103" t="str">
        <f>IFERROR(IF(OR('Master Data'!$I$29='Copy of GA55 Check &amp; Edit'!$AP$6,D13=""),"",IF(AND(D13=$AX$24),"",IF(AND(D13=$AX$25),"",IF(AND(D13=$AX$26),"",IF(AND(D13=$AX$27),"",IF(AND(D13=$AX$28),"",IF(AND(D13=$AX$29),"",IF(AND(E13=""),"",'Master Data'!$I$44)))))))),"")</f>
        <v/>
      </c>
      <c r="S13" s="103" t="str">
        <f>_xlfn.IFERROR(IF(OR('Master Data'!$I$28='Copy of GA55 Check &amp; Edit'!$AP$6),"",IF(D13="","",IF(E13="","",IF(AND(D13=$AX$24),"",IF(AND(D13=$AX$25),"",IF(AND(D13=$AX$26),"",IF(AND(D13=$AX$27),"",IF(AND(D13=$AX$28),"",IF(AND(D13=$AX$29),"",VLOOKUP(D13,Copy of GA55 Check &amp; Edit!ram,10,0)))))))))),"")</f>
        <v>#ERROR!</v>
      </c>
      <c r="T13" s="103">
        <f>IFERROR(IF(OR('Master Data'!$I$29='Copy of GA55 Check &amp; Edit'!$AP$6,D13=""),"",IF(AND(D13=$AX$24),"",IF(AND(D13=$AX$25),"",IF(AND(D13=$AX$26),"",IF(AND(D13=$AX$27),"",IF(AND(D13=$AX$28),"",IF(AND(D13=$AX$29),"",IF(AND(E13=""),"",'Master Data'!$K$44)))))))),"")</f>
        <v>3000</v>
      </c>
      <c r="U13" s="103">
        <f>IFERROR(IF(OR('Master Data'!$I$29='Copy of GA55 Check &amp; Edit'!$AP$6,D13=""),"",IF(AND(D13=$AX$24),"",IF(AND(D13=$AX$25),"",IF(AND(D13=$AX$26),"",IF(AND(D13=$AX$27),"",IF(AND(D13=$AX$28),"",IF(AND(D13=$AX$29),"",IF(AND(E13=""),"",'Master Data'!$L$44)))))))),"")</f>
        <v>2100</v>
      </c>
      <c r="V13" s="103" t="str">
        <f>IFERROR(IF(OR('Master Data'!$I$29='Copy of GA55 Check &amp; Edit'!$AP$6,D13=""),"",IF(AND(D13=$AX$24),"",IF(AND(D13=$AX$25),"",IF(AND(D13=$AX$26),"",IF(AND(D13=$AX$27),"",IF(AND(D13=$AX$28),"",IF(AND(D13=$AX$29),"",IF(AND(E13=""),"",'Master Data'!$M$44)))))))),"")</f>
        <v/>
      </c>
      <c r="W13" s="103" t="str">
        <f>IFERROR(IF(OR('Master Data'!$I$29='Copy of GA55 Check &amp; Edit'!$AP$6,D13=""),"",IF(AND(D13=$AX$24),"",IF(AND(D13=$AX$25),"",IF(AND(D13=$AX$26),"",IF(AND(D13=$AX$27),"",IF(AND(D13=$AX$28),"",IF(AND(D13=$AX$29),"",IF(AND(E13=""),"",'Master Data'!$N$44)))))))),"")</f>
        <v/>
      </c>
      <c r="X13" s="103" t="str">
        <f>IFERROR(IF(OR('Master Data'!$I$29='Copy of GA55 Check &amp; Edit'!$AP$6,D13=""),"",IF(AND(E13=""),"",IF(AND('Copy of GA55 Check &amp; Edit'!D13='Copy of GA55 Check &amp; Edit'!$AT$17,'Master Data'!$D$18="Gazetted"),500,IF(AND('Copy of GA55 Check &amp; Edit'!D13='Copy of GA55 Check &amp; Edit'!$AT$17,'Master Data'!$D$18="Non-Gazetted"),250,"")))),"")</f>
        <v/>
      </c>
      <c r="Y13" s="103" t="str">
        <f>IFERROR(IF(D13="","",IF(AND(E13=""),"",IF(AND(D13=$AX$24),"",IF(AND(D13=$AX$25),"",IF(AND(D13=$AX$26),"",IF(AND(D13=$AX$27),"",IF(AND(D13=$AX$28),"",IF(AND(D13=$AX$29),"",IF(OR('Master Data'!$I$29='Copy of GA55 Check &amp; Edit'!$AP$6,D13=""),"",$Y$7))))))))),"")</f>
        <v/>
      </c>
      <c r="Z13" s="103" t="str">
        <f>_xlfn.IFERROR(IF(OR('Master Data'!$I$28='Copy of GA55 Check &amp; Edit'!$AP$6),"",IF(D13="","",IF(E13="","",VLOOKUP(D13,Copy of GA55 Check &amp; Edit!ram,9,0)))),"")</f>
        <v>#ERROR!</v>
      </c>
      <c r="AA13" s="103" t="str">
        <f>IFERROR(IF(OR('Master Data'!$I$29='Copy of GA55 Check &amp; Edit'!$AP$6,D13="",'Master Data'!$N$35=""),"",IF(AND(E13=""),"",IF('Copy of GA55 Check &amp; Edit'!D13='Copy of GA55 Check &amp; Edit'!$AT$9,'Master Data'!$N$35,""))),"")</f>
        <v/>
      </c>
      <c r="AB13" s="115" t="str">
        <f t="shared" si="8"/>
        <v>0</v>
      </c>
      <c r="AC13" s="116" t="str">
        <f t="shared" si="9"/>
        <v/>
      </c>
      <c r="AD13" s="117"/>
      <c r="AE13" s="118"/>
      <c r="AF13" s="1"/>
      <c r="AG13" s="108"/>
      <c r="AH13" s="109"/>
      <c r="AI13" s="109"/>
      <c r="AJ13" s="109"/>
      <c r="AK13" s="109"/>
      <c r="AL13" s="109"/>
      <c r="AM13" s="54"/>
      <c r="AN13" s="54"/>
      <c r="AO13" s="54"/>
      <c r="AP13" s="54"/>
      <c r="AQ13" s="54"/>
      <c r="AR13" s="54"/>
      <c r="AS13" s="54" t="s">
        <v>69</v>
      </c>
      <c r="AT13" s="89">
        <v>45870.0</v>
      </c>
      <c r="AU13" s="54" t="s">
        <v>70</v>
      </c>
      <c r="AV13" s="55"/>
      <c r="AW13" s="125" t="s">
        <v>64</v>
      </c>
      <c r="AX13" s="89">
        <v>45748.0</v>
      </c>
      <c r="AY13" s="54">
        <v>4.0</v>
      </c>
      <c r="AZ13" s="54"/>
      <c r="BA13" s="55">
        <f>IF(AND('Master Data'!$N$25=""),"",IF(AND('Master Data'!$N$29='Copy of GA55 Check &amp; Edit'!$AP$6),'Copy of GA55 Check &amp; Edit'!$AZ$15,BU13))</f>
        <v>38000</v>
      </c>
      <c r="BB13" s="55">
        <f t="shared" si="3"/>
        <v>38000</v>
      </c>
      <c r="BC13" s="54">
        <f>IF(AND('Master Data'!$N$25=""),"",ROUND(55%*BA13,0))</f>
        <v>20900</v>
      </c>
      <c r="BD13" s="54">
        <f t="shared" si="4"/>
        <v>20900</v>
      </c>
      <c r="BE13" s="126">
        <f>IFERROR(IF(AND('Master Data'!$N$25=""),"",ROUND('Master Data'!$E$35%*BB13,0)),"")</f>
        <v>3800</v>
      </c>
      <c r="BF13" s="55" t="str">
        <f>#REF!</f>
        <v>#REF!</v>
      </c>
      <c r="BG13" s="55">
        <f>IFERROR(IF(OR('Master Data'!$I$29='Copy of GA55 Check &amp; Edit'!$AP$6),"",IF('Master Data'!$I$31="GPF-2004",IF(BB13&lt;18001,265,IF(BB13&lt;33501,440,IF(BB13&lt;54001,658,875))),IF(AND('Master Data'!$I$31="GPF",'Master Data'!$J$44=""),IF(BB13&lt;18001,265,IF(BB13&lt;33501,440,IF(BB13&lt;54001,658,875))),'Master Data'!$J$44))),"")</f>
        <v>658</v>
      </c>
      <c r="BH13" s="54" t="str">
        <f>IFERROR(IF(OR('Master Data'!$I$29='Copy of GA55 Check &amp; Edit'!$AP$6),"",'Master Data'!$G$44),"")</f>
        <v/>
      </c>
      <c r="BI13" s="127">
        <f>IFERROR(IF(OR('Master Data'!$I$29='Copy of GA55 Check &amp; Edit'!$AP$6),"",IF('Master Data'!$I$31="GPF-2004",IF(BB13&lt;23101,1450,IF(BB13&lt;28501,1625,IF(BB13&lt;38501,2100,IF(BB13&lt;51501,2850,IF(BB13&lt;62001,3575,IF(BB13&lt;72001,4200,IF(BB13&lt;80001,4800,IF(BB13&lt;116001,6150,IF(BB13&lt;167001,8900,10500))))))))),'Master Data'!$H$44)),"")</f>
        <v>2100</v>
      </c>
      <c r="BJ13" s="55">
        <f t="shared" si="5"/>
        <v>38000</v>
      </c>
      <c r="BK13" s="130">
        <v>45748.0</v>
      </c>
      <c r="BL13" s="130">
        <f>IFERROR(IF('Master Data'!$N$25="","",IF('Master Data'!$F$41="","",IF(AND($AZ$17&gt;$AZ$9),"",DATE(YEAR(BL12),MONTH(BL12)+1,DAY(BL12))))),"")</f>
        <v>45748</v>
      </c>
      <c r="BM13" s="130">
        <f>IFERROR(IF('Master Data'!$N$25="","",IF('Master Data'!$F$41="","",IF(AND($AZ$17&gt;$AZ$9),"",DATE(YEAR(BM12),MONTH(BM12)+1,DAY(BM12))))),"")</f>
        <v>45748</v>
      </c>
      <c r="BN13" s="130">
        <f t="shared" si="10"/>
        <v>45748</v>
      </c>
      <c r="BO13" s="130">
        <f t="shared" ref="BO13:BO30" si="13">IFERROR(IF(BM13="","",IF(AND(BL13=$BK$24),$BM$24,IF(AND(BL13=$BK$25),$BM$25,IF(AND(BL13=$BK$26),$BM$26,IF(AND(BL13=$BK$27),$BM$27,IF(AND(BL13=$BK$28),$BM$28,IF(AND(BL13=$BK$29),$BM$29,IF(AND(BL13=$BK$30),$BM$30,BN13)))))))),"")</f>
        <v>45748</v>
      </c>
      <c r="BP13" s="130"/>
      <c r="BQ13" s="130">
        <f>IFERROR(IF(BM13="","",IF(D9=$AX$25,$AX$25,IF(D9=$AX$30,$AX$30,IF(D9=$AX$31,$AX$31,IF(D9=$AX$32,$AX$32,IF(BM13&gt;$AZ$17,"",BM13)))))),"")</f>
        <v>45748</v>
      </c>
      <c r="BR13" s="130"/>
      <c r="BS13" s="55" t="str">
        <f t="shared" si="11"/>
        <v>#N/A</v>
      </c>
      <c r="BT13" s="55"/>
      <c r="BU13" s="55">
        <f>IF(AND('Master Data'!$N$25=""),"",IF(AND('Master Data'!$N$27='Copy of GA55 Check &amp; Edit'!AX13),'Master Data'!$N$31,BU12))</f>
        <v>38000</v>
      </c>
      <c r="BV13" s="54"/>
      <c r="BW13" s="54"/>
      <c r="BX13" s="55" t="str">
        <f t="shared" si="12"/>
        <v>#REF!</v>
      </c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109"/>
      <c r="CJ13" s="109"/>
      <c r="CK13" s="109"/>
      <c r="CL13" s="109"/>
      <c r="CM13" s="109"/>
      <c r="CN13" s="109"/>
      <c r="CO13" s="109"/>
      <c r="CP13" s="108"/>
      <c r="CQ13" s="108"/>
      <c r="CR13" s="108"/>
      <c r="CS13" s="108"/>
      <c r="CT13" s="108"/>
    </row>
    <row r="14" ht="21.0" customHeight="1">
      <c r="A14" s="1" t="str">
        <f t="shared" si="1"/>
        <v>#REF!</v>
      </c>
      <c r="B14" s="96" t="str">
        <f t="shared" si="6"/>
        <v>#REF!</v>
      </c>
      <c r="C14" s="110">
        <v>5.0</v>
      </c>
      <c r="D14" s="111">
        <f t="shared" si="7"/>
        <v>45901</v>
      </c>
      <c r="E14" s="147">
        <v>104900.0</v>
      </c>
      <c r="F14" s="113" t="str">
        <f>_xlfn.IFERROR(IF(D14="","",IF(D14=$AX$24,"",IF(AND(D14=$AX$28),"",IF(AND('Master Data'!$I$28='Copy of GA55 Check &amp; Edit'!$AP$5),VLOOKUP(D14,Copy of GA55 Check &amp; Edit!ram,7,0),"")))),"")</f>
        <v>#ERROR!</v>
      </c>
      <c r="G14" s="113" t="str">
        <f>_xlfn.IFERROR(IF(D14="","",IF(D14=$AX$24,"",IF(AND(D14=$AX$25),"",IF(AND(D14=$AX$26),"",IF(AND(D14=$AX$27),"",IF(AND(D14=$AX$28),"",IF(AND(D14=$AX$29),"",IF(AND('Master Data'!$I$28='Copy of GA55 Check &amp; Edit'!$AP$6),"",VLOOKUP(D14,Copy of GA55 Check &amp; Edit!ram,8,0))))))))),"")</f>
        <v>#ERROR!</v>
      </c>
      <c r="H14" s="113" t="str">
        <f>IFERROR(IF(D14="","",IF(AND(E14=""),"",IF(OR(D14=$AX$24,D14=$AX$25,D14=$AX$26,D14=$AX$27,D14=$AX$28,D14=$AX$29),"",IF(AND('Master Data'!$I$29='Copy of GA55 Check &amp; Edit'!$AP$5),'Master Data'!$B$44,"")))),"")</f>
        <v/>
      </c>
      <c r="I14" s="113" t="str">
        <f>IFERROR(IF(D14="","",IF(AND(E14=""),"",IF(OR(D14=$AX$24,D14=$AX$25,D14=$AX$26,D14=$AX$27,D14=$AX$28,D14=$AX$29),"",IF(AND('Master Data'!$I$29='Copy of GA55 Check &amp; Edit'!$AP$5,'Master Data'!$E$29='Copy of GA55 Check &amp; Edit'!$AO$5),'Master Data'!$E$31,"0")))),"")</f>
        <v>0</v>
      </c>
      <c r="J14" s="113" t="str">
        <f>IFERROR(IF(OR('Master Data'!$E$33=$AO$6,'Master Data'!$E$33=""),"",IF(D14="","",IF(AND(E14=""),"",IF(OR(D14=$AX$24,D14=$AX$25,D14=$AX$26,D14=$AX$27,D14=$AX$28,D14=$AX$29),"",IF(AND('Master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4" s="113" t="str">
        <f>IFERROR(IF(D14="","",IF(AND(E14=""),"",IF(OR(D14=$AX$24,D14=$AX$25,D14=$AX$26,D14=$AX$27,D14=$AX$28,D14=$AX$29),"",IF(AND('Master Data'!$I$29='Copy of GA55 Check &amp; Edit'!$AP$5),'Master Data'!$C$44,"")))),"")</f>
        <v/>
      </c>
      <c r="L14" s="113" t="str">
        <f>IFERROR(IF(D14="","",IF(AND(E14=""),"",IF(OR(D14=$AX$24,D14=$AX$25,D14=$AX$26,D14=$AX$27,D14=$AX$28,D14=$AX$29),"",IF(AND('Master Data'!$I$29='Copy of GA55 Check &amp; Edit'!$AP$6),"",'Master Data'!$D$44)))),"")</f>
        <v/>
      </c>
      <c r="M14" s="113" t="str">
        <f>IFERROR(IF(D14="","",IF(AND(E14=""),"",IF(OR(D14=$AX$24,D14=$AX$25,D14=$AX$26,D14=$AX$27,D14=$AX$28,D14=$AX$29),"",IF(AND('Master Data'!$I$29='Copy of GA55 Check &amp; Edit'!$AP$6),"",'Master Data'!$E$44)))),"")</f>
        <v/>
      </c>
      <c r="N14" s="113" t="str">
        <f>_xlfn.IFERROR(IF(D14="","",IF(AND('Master Data'!$I$28='Copy of GA55 Check &amp; Edit'!$AP$6),"",IF(AND('Master Data'!$I$24='Copy of GA55 Check &amp; Edit'!$AO$6),"0",IF(AND(D14="Bonus"),VLOOKUP(D14,Copy of GA55 Check &amp; Edit!ram,4,0),"")))),"")</f>
        <v>#ERROR!</v>
      </c>
      <c r="O14" s="114" t="str">
        <f>IF(D14="","",IF('Master Data'!$N$25="","",SUM(E14:N14)))</f>
        <v>#ERROR!</v>
      </c>
      <c r="P14" s="103" t="str">
        <f>_xlfn.IFERROR(IF(OR('Master Data'!$I$28='Copy of GA55 Check &amp; Edit'!$AP$6,D14=""),"",IF(AND(D14=$AX$24),"",IF(AND(D14=$AX$25),"",IF(AND(D14=$AX$26),"",IF(AND(D14=$AX$27),"",IF(AND(D14=$AX$28),"",IF(AND(D14=$AX$29),"",IF(AND(E14=""),"",VLOOKUP(D14,Copy of GA55 Check &amp; Edit!ram,11,0))))))))),"")</f>
        <v>#ERROR!</v>
      </c>
      <c r="Q14" s="102" t="str">
        <f>_xlfn.IFERROR(IF(AND('Master Data'!$I$28='Copy of GA55 Check &amp; Edit'!$AP$6),"",IF(AND(D14=$AX$25),"",IF(AND(D14=$AX$28),"",IF(AND(D14=$AX$29),"",IF(AND(D14=""),"",IF(AND(BB18=""),"",VLOOKUP(D14,Copy of GA55 Check &amp; Edit!ram,12,0))))))),"")</f>
        <v>#ERROR!</v>
      </c>
      <c r="R14" s="103" t="str">
        <f>IFERROR(IF(OR('Master Data'!$I$29='Copy of GA55 Check &amp; Edit'!$AP$6,D14=""),"",IF(AND(D14=$AX$24),"",IF(AND(D14=$AX$25),"",IF(AND(D14=$AX$26),"",IF(AND(D14=$AX$27),"",IF(AND(D14=$AX$28),"",IF(AND(D14=$AX$29),"",IF(AND(E14=""),"",'Master Data'!$I$44)))))))),"")</f>
        <v/>
      </c>
      <c r="S14" s="103" t="str">
        <f>_xlfn.IFERROR(IF(OR('Master Data'!$I$28='Copy of GA55 Check &amp; Edit'!$AP$6),"",IF(D14="","",IF(E14="","",IF(AND(D14=$AX$24),"",IF(AND(D14=$AX$25),"",IF(AND(D14=$AX$26),"",IF(AND(D14=$AX$27),"",IF(AND(D14=$AX$28),"",IF(AND(D14=$AX$29),"",VLOOKUP(D14,Copy of GA55 Check &amp; Edit!ram,10,0)))))))))),"")</f>
        <v>#ERROR!</v>
      </c>
      <c r="T14" s="103">
        <f>IFERROR(IF(OR('Master Data'!$I$29='Copy of GA55 Check &amp; Edit'!$AP$6,D14=""),"",IF(AND(D14=$AX$24),"",IF(AND(D14=$AX$25),"",IF(AND(D14=$AX$26),"",IF(AND(D14=$AX$27),"",IF(AND(D14=$AX$28),"",IF(AND(D14=$AX$29),"",IF(AND(E14=""),"",'Master Data'!$K$44)))))))),"")</f>
        <v>3000</v>
      </c>
      <c r="U14" s="103">
        <f>IFERROR(IF(OR('Master Data'!$I$29='Copy of GA55 Check &amp; Edit'!$AP$6,D14=""),"",IF(AND(D14=$AX$24),"",IF(AND(D14=$AX$25),"",IF(AND(D14=$AX$26),"",IF(AND(D14=$AX$27),"",IF(AND(D14=$AX$28),"",IF(AND(D14=$AX$29),"",IF(AND(E14=""),"",'Master Data'!$L$44)))))))),"")</f>
        <v>2100</v>
      </c>
      <c r="V14" s="103" t="str">
        <f>IFERROR(IF(OR('Master Data'!$I$29='Copy of GA55 Check &amp; Edit'!$AP$6,D14=""),"",IF(AND(D14=$AX$24),"",IF(AND(D14=$AX$25),"",IF(AND(D14=$AX$26),"",IF(AND(D14=$AX$27),"",IF(AND(D14=$AX$28),"",IF(AND(D14=$AX$29),"",IF(AND(E14=""),"",'Master Data'!$M$44)))))))),"")</f>
        <v/>
      </c>
      <c r="W14" s="103" t="str">
        <f>IFERROR(IF(OR('Master Data'!$I$29='Copy of GA55 Check &amp; Edit'!$AP$6,D14=""),"",IF(AND(D14=$AX$24),"",IF(AND(D14=$AX$25),"",IF(AND(D14=$AX$26),"",IF(AND(D14=$AX$27),"",IF(AND(D14=$AX$28),"",IF(AND(D14=$AX$29),"",IF(AND(E14=""),"",'Master Data'!$N$44)))))))),"")</f>
        <v/>
      </c>
      <c r="X14" s="103" t="str">
        <f>IFERROR(IF(OR('Master Data'!$I$29='Copy of GA55 Check &amp; Edit'!$AP$6,D14=""),"",IF(AND(E14=""),"",IF(AND('Copy of GA55 Check &amp; Edit'!D14='Copy of GA55 Check &amp; Edit'!$AT$17,'Master Data'!$D$18="Gazetted"),500,IF(AND('Copy of GA55 Check &amp; Edit'!D14='Copy of GA55 Check &amp; Edit'!$AT$17,'Master Data'!$D$18="Non-Gazetted"),250,"")))),"")</f>
        <v/>
      </c>
      <c r="Y14" s="103" t="str">
        <f>IFERROR(IF(D14="","",IF(AND(E14=""),"",IF(AND(D14=$AX$24),"",IF(AND(D14=$AX$25),"",IF(AND(D14=$AX$26),"",IF(AND(D14=$AX$27),"",IF(AND(D14=$AX$28),"",IF(AND(D14=$AX$29),"",IF(OR('Master Data'!$I$29='Copy of GA55 Check &amp; Edit'!$AP$6,D14=""),"",$Y$7))))))))),"")</f>
        <v/>
      </c>
      <c r="Z14" s="103" t="str">
        <f>_xlfn.IFERROR(IF(OR('Master Data'!$I$28='Copy of GA55 Check &amp; Edit'!$AP$6),"",IF(D14="","",IF(E14="","",VLOOKUP(D14,Copy of GA55 Check &amp; Edit!ram,9,0)))),"")</f>
        <v>#ERROR!</v>
      </c>
      <c r="AA14" s="103" t="str">
        <f>IFERROR(IF(OR('Master Data'!$I$29='Copy of GA55 Check &amp; Edit'!$AP$6,D14="",'Master Data'!$N$35=""),"",IF(AND(E14=""),"",IF('Copy of GA55 Check &amp; Edit'!D14='Copy of GA55 Check &amp; Edit'!$AT$9,'Master Data'!$N$35,""))),"")</f>
        <v/>
      </c>
      <c r="AB14" s="115" t="str">
        <f t="shared" si="8"/>
        <v>0</v>
      </c>
      <c r="AC14" s="116" t="str">
        <f t="shared" si="9"/>
        <v/>
      </c>
      <c r="AD14" s="117"/>
      <c r="AE14" s="118"/>
      <c r="AF14" s="1"/>
      <c r="AG14" s="108"/>
      <c r="AH14" s="109"/>
      <c r="AI14" s="109"/>
      <c r="AJ14" s="109"/>
      <c r="AK14" s="109"/>
      <c r="AL14" s="109"/>
      <c r="AM14" s="54"/>
      <c r="AN14" s="54"/>
      <c r="AO14" s="54"/>
      <c r="AP14" s="54"/>
      <c r="AQ14" s="54"/>
      <c r="AR14" s="54"/>
      <c r="AS14" s="54" t="s">
        <v>71</v>
      </c>
      <c r="AT14" s="89">
        <v>45901.0</v>
      </c>
      <c r="AU14" s="54" t="s">
        <v>72</v>
      </c>
      <c r="AV14" s="54"/>
      <c r="AW14" s="125" t="s">
        <v>67</v>
      </c>
      <c r="AX14" s="89">
        <v>45778.0</v>
      </c>
      <c r="AY14" s="54">
        <v>5.0</v>
      </c>
      <c r="AZ14" s="54"/>
      <c r="BA14" s="55">
        <f>IF(AND('Master Data'!$N$25=""),"",IF(AND('Master Data'!$N$27='Copy of GA55 Check &amp; Edit'!$AP$6),'Copy of GA55 Check &amp; Edit'!$AZ$15,BU14))</f>
        <v>38000</v>
      </c>
      <c r="BB14" s="55">
        <f t="shared" si="3"/>
        <v>38000</v>
      </c>
      <c r="BC14" s="54">
        <f>IF(AND('Master Data'!$N$25=""),"",ROUND(55%*BA14,0))</f>
        <v>20900</v>
      </c>
      <c r="BD14" s="54">
        <f t="shared" si="4"/>
        <v>20900</v>
      </c>
      <c r="BE14" s="126">
        <f>IFERROR(IF(AND('Master Data'!$N$25=""),"",ROUND('Master Data'!$E$35%*BB14,0)),"")</f>
        <v>3800</v>
      </c>
      <c r="BF14" s="55" t="str">
        <f>'Master Data'!D48</f>
        <v/>
      </c>
      <c r="BG14" s="55">
        <f>IFERROR(IF(OR('Master Data'!$I$29='Copy of GA55 Check &amp; Edit'!$AP$6),"",IF('Master Data'!$I$31="GPF-2004",IF(BB14&lt;18001,265,IF(BB14&lt;33501,440,IF(BB14&lt;54001,658,875))),IF(AND('Master Data'!$I$31="GPF",'Master Data'!$J$44=""),IF(BB14&lt;18001,265,IF(BB14&lt;33501,440,IF(BB14&lt;54001,658,875))),'Master Data'!$J$44))),"")</f>
        <v>658</v>
      </c>
      <c r="BH14" s="54" t="str">
        <f>IFERROR(IF(OR('Master Data'!$I$29='Copy of GA55 Check &amp; Edit'!$AP$6),"",'Master Data'!$G$44),"")</f>
        <v/>
      </c>
      <c r="BI14" s="127">
        <f>IFERROR(IF(OR('Master Data'!$I$29='Copy of GA55 Check &amp; Edit'!$AP$6),"",IF('Master Data'!$I$31="GPF-2004",IF(BB14&lt;23101,1450,IF(BB14&lt;28501,1625,IF(BB14&lt;38501,2100,IF(BB14&lt;51501,2850,IF(BB14&lt;62001,3575,IF(BB14&lt;72001,4200,IF(BB14&lt;80001,4800,IF(BB14&lt;116001,6150,IF(BB14&lt;167001,8900,10500))))))))),'Master Data'!$H$44)),"")</f>
        <v>2100</v>
      </c>
      <c r="BJ14" s="55">
        <f t="shared" si="5"/>
        <v>38000</v>
      </c>
      <c r="BK14" s="130">
        <v>45778.0</v>
      </c>
      <c r="BL14" s="130">
        <f>IFERROR(IF('Master Data'!$N$25="","",IF('Master Data'!$F$41="","",IF(AND($AZ$17&gt;$AZ$9),"",DATE(YEAR(BL13),MONTH(BL13)+1,DAY(BL13))))),"")</f>
        <v>45778</v>
      </c>
      <c r="BM14" s="130">
        <f>IFERROR(IF('Master Data'!$N$25="","",IF('Master Data'!$F$41="","",IF(AND($AZ$17&gt;$AZ$9),"",DATE(YEAR(BM13),MONTH(BM13)+1,DAY(BM13))))),"")</f>
        <v>45778</v>
      </c>
      <c r="BN14" s="130">
        <f t="shared" si="10"/>
        <v>45778</v>
      </c>
      <c r="BO14" s="130">
        <f t="shared" si="13"/>
        <v>45778</v>
      </c>
      <c r="BP14" s="130"/>
      <c r="BQ14" s="130" t="str">
        <f>IFERROR(IF(BM14="","",IF(#REF!=$AX$25,$AX$25,IF(#REF!=$AX$30,$AX$30,IF(#REF!=$AX$31,$AX$31,IF(#REF!=$AX$32,$AX$32,IF(BM14&gt;$AZ$17,"",BM14)))))),"")</f>
        <v/>
      </c>
      <c r="BR14" s="130"/>
      <c r="BS14" s="55" t="str">
        <f>OFFSET(#REF!,MATCH(BO14,$D$9:$D$27,0)+1,MATCH(BO14,D10:N10,0))</f>
        <v>#REF!</v>
      </c>
      <c r="BT14" s="55"/>
      <c r="BU14" s="55">
        <f>IF(AND('Master Data'!$N$25=""),"",IF(AND('Master Data'!$N$27='Copy of GA55 Check &amp; Edit'!AX14),'Master Data'!$N$31,BU13))</f>
        <v>38000</v>
      </c>
      <c r="BV14" s="54"/>
      <c r="BW14" s="54"/>
      <c r="BX14" s="55" t="str">
        <f t="shared" si="12"/>
        <v/>
      </c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109"/>
      <c r="CJ14" s="109"/>
      <c r="CK14" s="109"/>
      <c r="CL14" s="109"/>
      <c r="CM14" s="109"/>
      <c r="CN14" s="109"/>
      <c r="CO14" s="109"/>
      <c r="CP14" s="108"/>
      <c r="CQ14" s="108"/>
      <c r="CR14" s="108"/>
      <c r="CS14" s="108"/>
      <c r="CT14" s="108"/>
    </row>
    <row r="15" ht="21.0" customHeight="1">
      <c r="A15" s="1" t="str">
        <f t="shared" si="1"/>
        <v>#REF!</v>
      </c>
      <c r="B15" s="96" t="str">
        <f t="shared" si="6"/>
        <v>#REF!</v>
      </c>
      <c r="D15" s="111">
        <f t="shared" si="7"/>
        <v>45931</v>
      </c>
      <c r="E15" s="147">
        <v>104900.0</v>
      </c>
      <c r="F15" s="113" t="str">
        <f>_xlfn.IFERROR(IF(D15="","",IF(D15=$AX$24,"",IF(AND(D15=$AX$28),"",IF(AND('Master Data'!$I$28='Copy of GA55 Check &amp; Edit'!$AP$5),VLOOKUP(D15,Copy of GA55 Check &amp; Edit!ram,7,0),"")))),"")</f>
        <v>#ERROR!</v>
      </c>
      <c r="G15" s="113" t="str">
        <f>_xlfn.IFERROR(IF(D15="","",IF(D15=$AX$24,"",IF(AND(D15=$AX$25),"",IF(AND(D15=$AX$26),"",IF(AND(D15=$AX$27),"",IF(AND(D15=$AX$28),"",IF(AND(D15=$AX$29),"",IF(AND('Master Data'!$I$28='Copy of GA55 Check &amp; Edit'!$AP$6),"",VLOOKUP(D15,Copy of GA55 Check &amp; Edit!ram,8,0))))))))),"")</f>
        <v>#ERROR!</v>
      </c>
      <c r="H15" s="113" t="str">
        <f>IFERROR(IF(D15="","",IF(AND(E15=""),"",IF(OR(D15=$AX$24,D15=$AX$25,D15=$AX$26,D15=$AX$27,D15=$AX$28,D15=$AX$29),"",IF(AND('Master Data'!$I$29='Copy of GA55 Check &amp; Edit'!$AP$5),'Master Data'!$B$44,"")))),"")</f>
        <v/>
      </c>
      <c r="I15" s="113" t="str">
        <f>IFERROR(IF(D15="","",IF(AND(E15=""),"",IF(OR(D15=$AX$24,D15=$AX$25,D15=$AX$26,D15=$AX$27,D15=$AX$28,D15=$AX$29),"",IF(AND('Master Data'!$I$29='Copy of GA55 Check &amp; Edit'!$AP$5,'Master Data'!$E$29='Copy of GA55 Check &amp; Edit'!$AO$5),'Master Data'!$E$31,"0")))),"")</f>
        <v>0</v>
      </c>
      <c r="J15" s="113" t="str">
        <f>IFERROR(IF(OR('Master Data'!$E$33=$AO$6,'Master Data'!$E$33=""),"",IF(D15="","",IF(AND(E15=""),"",IF(OR(D15=$AX$24,D15=$AX$25,D15=$AX$26,D15=$AX$27,D15=$AX$28,D15=$AX$29),"",IF(AND('Master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5" s="113" t="str">
        <f>IFERROR(IF(D15="","",IF(AND(E15=""),"",IF(OR(D15=$AX$24,D15=$AX$25,D15=$AX$26,D15=$AX$27,D15=$AX$28,D15=$AX$29),"",IF(AND('Master Data'!$I$29='Copy of GA55 Check &amp; Edit'!$AP$5),'Master Data'!$C$44,"")))),"")</f>
        <v/>
      </c>
      <c r="L15" s="113" t="str">
        <f>IFERROR(IF(D15="","",IF(AND(E15=""),"",IF(OR(D15=$AX$24,D15=$AX$25,D15=$AX$26,D15=$AX$27,D15=$AX$28,D15=$AX$29),"",IF(AND('Master Data'!$I$29='Copy of GA55 Check &amp; Edit'!$AP$6),"",'Master Data'!$D$44)))),"")</f>
        <v/>
      </c>
      <c r="M15" s="113" t="str">
        <f>IFERROR(IF(D15="","",IF(AND(E15=""),"",IF(OR(D15=$AX$24,D15=$AX$25,D15=$AX$26,D15=$AX$27,D15=$AX$28,D15=$AX$29),"",IF(AND('Master Data'!$I$29='Copy of GA55 Check &amp; Edit'!$AP$6),"",'Master Data'!$E$44)))),"")</f>
        <v/>
      </c>
      <c r="N15" s="113" t="str">
        <f>_xlfn.IFERROR(IF(D15="","",IF(AND('Master Data'!$I$28='Copy of GA55 Check &amp; Edit'!$AP$6),"",IF(AND('Master Data'!$I$24='Copy of GA55 Check &amp; Edit'!$AO$6),"0",IF(AND(D15="Bonus"),VLOOKUP(D15,Copy of GA55 Check &amp; Edit!ram,4,0),"")))),"")</f>
        <v>#ERROR!</v>
      </c>
      <c r="O15" s="114" t="str">
        <f>IF(D15="","",IF('Master Data'!$N$25="","",SUM(E15:N15)))</f>
        <v>#ERROR!</v>
      </c>
      <c r="P15" s="103" t="str">
        <f>_xlfn.IFERROR(IF(OR('Master Data'!$I$28='Copy of GA55 Check &amp; Edit'!$AP$6,D15=""),"",IF(AND(D15=$AX$24),"",IF(AND(D15=$AX$25),"",IF(AND(D15=$AX$26),"",IF(AND(D15=$AX$27),"",IF(AND(D15=$AX$28),"",IF(AND(D15=$AX$29),"",IF(AND(E15=""),"",VLOOKUP(D15,Copy of GA55 Check &amp; Edit!ram,11,0))))))))),"")</f>
        <v>#ERROR!</v>
      </c>
      <c r="Q15" s="102" t="str">
        <f>_xlfn.IFERROR(IF(AND('Master Data'!$I$28='Copy of GA55 Check &amp; Edit'!$AP$6),"",IF(AND(D15=$AX$25),"",IF(AND(D15=$AX$28),"",IF(AND(D15=$AX$29),"",IF(AND(D15=""),"",IF(AND(BB19=""),"",VLOOKUP(D15,Copy of GA55 Check &amp; Edit!ram,12,0))))))),"")</f>
        <v>#ERROR!</v>
      </c>
      <c r="R15" s="103" t="str">
        <f>IFERROR(IF(OR('Master Data'!$I$29='Copy of GA55 Check &amp; Edit'!$AP$6,D15=""),"",IF(AND(D15=$AX$24),"",IF(AND(D15=$AX$25),"",IF(AND(D15=$AX$26),"",IF(AND(D15=$AX$27),"",IF(AND(D15=$AX$28),"",IF(AND(D15=$AX$29),"",IF(AND(E15=""),"",'Master Data'!$I$44)))))))),"")</f>
        <v/>
      </c>
      <c r="S15" s="103" t="str">
        <f>_xlfn.IFERROR(IF(OR('Master Data'!$I$28='Copy of GA55 Check &amp; Edit'!$AP$6),"",IF(D15="","",IF(E15="","",IF(AND(D15=$AX$24),"",IF(AND(D15=$AX$25),"",IF(AND(D15=$AX$26),"",IF(AND(D15=$AX$27),"",IF(AND(D15=$AX$28),"",IF(AND(D15=$AX$29),"",VLOOKUP(D15,Copy of GA55 Check &amp; Edit!ram,10,0)))))))))),"")</f>
        <v>#ERROR!</v>
      </c>
      <c r="T15" s="103">
        <f>IFERROR(IF(OR('Master Data'!$I$29='Copy of GA55 Check &amp; Edit'!$AP$6,D15=""),"",IF(AND(D15=$AX$24),"",IF(AND(D15=$AX$25),"",IF(AND(D15=$AX$26),"",IF(AND(D15=$AX$27),"",IF(AND(D15=$AX$28),"",IF(AND(D15=$AX$29),"",IF(AND(E15=""),"",'Master Data'!$K$44)))))))),"")</f>
        <v>3000</v>
      </c>
      <c r="U15" s="103">
        <f>IFERROR(IF(OR('Master Data'!$I$29='Copy of GA55 Check &amp; Edit'!$AP$6,D15=""),"",IF(AND(D15=$AX$24),"",IF(AND(D15=$AX$25),"",IF(AND(D15=$AX$26),"",IF(AND(D15=$AX$27),"",IF(AND(D15=$AX$28),"",IF(AND(D15=$AX$29),"",IF(AND(E15=""),"",'Master Data'!$L$44)))))))),"")</f>
        <v>2100</v>
      </c>
      <c r="V15" s="103" t="str">
        <f>IFERROR(IF(OR('Master Data'!$I$29='Copy of GA55 Check &amp; Edit'!$AP$6,D15=""),"",IF(AND(D15=$AX$24),"",IF(AND(D15=$AX$25),"",IF(AND(D15=$AX$26),"",IF(AND(D15=$AX$27),"",IF(AND(D15=$AX$28),"",IF(AND(D15=$AX$29),"",IF(AND(E15=""),"",'Master Data'!$M$44)))))))),"")</f>
        <v/>
      </c>
      <c r="W15" s="103" t="str">
        <f>IFERROR(IF(OR('Master Data'!$I$29='Copy of GA55 Check &amp; Edit'!$AP$6,D15=""),"",IF(AND(D15=$AX$24),"",IF(AND(D15=$AX$25),"",IF(AND(D15=$AX$26),"",IF(AND(D15=$AX$27),"",IF(AND(D15=$AX$28),"",IF(AND(D15=$AX$29),"",IF(AND(E15=""),"",'Master Data'!$N$44)))))))),"")</f>
        <v/>
      </c>
      <c r="X15" s="103" t="str">
        <f>IFERROR(IF(OR('Master Data'!$I$29='Copy of GA55 Check &amp; Edit'!$AP$6,D15=""),"",IF(AND(E15=""),"",IF(AND('Copy of GA55 Check &amp; Edit'!D15='Copy of GA55 Check &amp; Edit'!$AT$17,'Master Data'!$D$18="Gazetted"),500,IF(AND('Copy of GA55 Check &amp; Edit'!D15='Copy of GA55 Check &amp; Edit'!$AT$17,'Master Data'!$D$18="Non-Gazetted"),250,"")))),"")</f>
        <v/>
      </c>
      <c r="Y15" s="103" t="str">
        <f>IFERROR(IF(D15="","",IF(AND(E15=""),"",IF(AND(D15=$AX$24),"",IF(AND(D15=$AX$25),"",IF(AND(D15=$AX$26),"",IF(AND(D15=$AX$27),"",IF(AND(D15=$AX$28),"",IF(AND(D15=$AX$29),"",IF(OR('Master Data'!$I$29='Copy of GA55 Check &amp; Edit'!$AP$6,D15=""),"",$Y$7))))))))),"")</f>
        <v/>
      </c>
      <c r="Z15" s="103" t="str">
        <f>_xlfn.IFERROR(IF(OR('Master Data'!$I$28='Copy of GA55 Check &amp; Edit'!$AP$6),"",IF(D15="","",IF(E15="","",VLOOKUP(D15,Copy of GA55 Check &amp; Edit!ram,9,0)))),"")</f>
        <v>#ERROR!</v>
      </c>
      <c r="AA15" s="103" t="str">
        <f>IFERROR(IF(OR('Master Data'!$I$29='Copy of GA55 Check &amp; Edit'!$AP$6,D15="",'Master Data'!$N$35=""),"",IF(AND(E15=""),"",IF('Copy of GA55 Check &amp; Edit'!D15='Copy of GA55 Check &amp; Edit'!$AT$9,'Master Data'!$N$35,""))),"")</f>
        <v/>
      </c>
      <c r="AB15" s="115" t="str">
        <f t="shared" si="8"/>
        <v>0</v>
      </c>
      <c r="AC15" s="116" t="str">
        <f t="shared" si="9"/>
        <v/>
      </c>
      <c r="AD15" s="117"/>
      <c r="AE15" s="118"/>
      <c r="AF15" s="1"/>
      <c r="AG15" s="108"/>
      <c r="AH15" s="109"/>
      <c r="AI15" s="109"/>
      <c r="AJ15" s="109"/>
      <c r="AK15" s="109"/>
      <c r="AL15" s="109"/>
      <c r="AM15" s="54"/>
      <c r="AN15" s="54"/>
      <c r="AO15" s="54"/>
      <c r="AP15" s="54"/>
      <c r="AQ15" s="54"/>
      <c r="AR15" s="54"/>
      <c r="AS15" s="54" t="s">
        <v>73</v>
      </c>
      <c r="AT15" s="89">
        <v>45931.0</v>
      </c>
      <c r="AU15" s="54" t="s">
        <v>74</v>
      </c>
      <c r="AV15" s="54"/>
      <c r="AW15" s="125" t="s">
        <v>69</v>
      </c>
      <c r="AX15" s="89">
        <v>45809.0</v>
      </c>
      <c r="AY15" s="54">
        <v>6.0</v>
      </c>
      <c r="AZ15" s="55">
        <f>IF(AND('Master Data'!N25=""),"",'Master Data'!N25)</f>
        <v>38000</v>
      </c>
      <c r="BA15" s="55">
        <f>IF(AND('Master Data'!$N$25=""),"",IF(AND('Master Data'!$N$27='Copy of GA55 Check &amp; Edit'!$AP$6),'Copy of GA55 Check &amp; Edit'!$AZ$15,BU15))</f>
        <v>38000</v>
      </c>
      <c r="BB15" s="55">
        <f t="shared" si="3"/>
        <v>38000</v>
      </c>
      <c r="BC15" s="54">
        <f>IF(AND('Master Data'!$N$25=""),"",ROUND(55%*BA15,0))</f>
        <v>20900</v>
      </c>
      <c r="BD15" s="54">
        <f t="shared" si="4"/>
        <v>20900</v>
      </c>
      <c r="BE15" s="126">
        <f>IFERROR(IF(AND('Master Data'!$N$25=""),"",ROUND('Master Data'!$E$35%*BB15,0)),"")</f>
        <v>3800</v>
      </c>
      <c r="BF15" s="55" t="str">
        <f>'Master Data'!E48</f>
        <v/>
      </c>
      <c r="BG15" s="55">
        <f>IFERROR(IF(OR('Master Data'!$I$29='Copy of GA55 Check &amp; Edit'!$AP$6),"",IF('Master Data'!$I$31="GPF-2004",IF(BB15&lt;18001,265,IF(BB15&lt;33501,440,IF(BB15&lt;54001,658,875))),IF(AND('Master Data'!$I$31="GPF",'Master Data'!$J$44=""),IF(BB15&lt;18001,265,IF(BB15&lt;33501,440,IF(BB15&lt;54001,658,875))),'Master Data'!$J$44))),"")</f>
        <v>658</v>
      </c>
      <c r="BH15" s="54" t="str">
        <f>IFERROR(IF(OR('Master Data'!$I$29='Copy of GA55 Check &amp; Edit'!$AP$6),"",'Master Data'!$G$44),"")</f>
        <v/>
      </c>
      <c r="BI15" s="127">
        <f>IFERROR(IF(OR('Master Data'!$I$29='Copy of GA55 Check &amp; Edit'!$AP$6),"",IF('Master Data'!$I$31="GPF-2004",IF(BB15&lt;23101,1450,IF(BB15&lt;28501,1625,IF(BB15&lt;38501,2100,IF(BB15&lt;51501,2850,IF(BB15&lt;62001,3575,IF(BB15&lt;72001,4200,IF(BB15&lt;80001,4800,IF(BB15&lt;116001,6150,IF(BB15&lt;167001,8900,10500))))))))),'Master Data'!$H$44)),"")</f>
        <v>2100</v>
      </c>
      <c r="BJ15" s="55">
        <f t="shared" si="5"/>
        <v>38000</v>
      </c>
      <c r="BK15" s="130">
        <v>45809.0</v>
      </c>
      <c r="BL15" s="130">
        <f>IFERROR(IF('Master Data'!$N$25="","",IF('Master Data'!$F$41="","",IF(AND($AZ$17&gt;$AZ$9),"",DATE(YEAR(BL14),MONTH(BL14)+1,DAY(BL14))))),"")</f>
        <v>45809</v>
      </c>
      <c r="BM15" s="130">
        <f>IFERROR(IF('Master Data'!$N$25="","",IF('Master Data'!$F$41="","",IF(AND($AZ$17&gt;$AZ$9),"",DATE(YEAR(BM14),MONTH(BM14)+1,DAY(BM14))))),"")</f>
        <v>45809</v>
      </c>
      <c r="BN15" s="130">
        <f t="shared" si="10"/>
        <v>45809</v>
      </c>
      <c r="BO15" s="130">
        <f t="shared" si="13"/>
        <v>45809</v>
      </c>
      <c r="BP15" s="130"/>
      <c r="BQ15" s="130">
        <f t="shared" ref="BQ15:BQ32" si="14">IFERROR(IF(BM15="","",IF(D11=$AX$25,$AX$25,IF(D11=$AX$30,$AX$30,IF(D11=$AX$31,$AX$31,IF(D11=$AX$32,$AX$32,IF(BM15&gt;$AZ$17,"",BM15)))))),"")</f>
        <v>45809</v>
      </c>
      <c r="BR15" s="130"/>
      <c r="BS15" s="55">
        <f>OFFSET(D9,MATCH(BO15,$D$9:$D$27,0)+1,MATCH(BO15,D11:N11,0))</f>
        <v>104900</v>
      </c>
      <c r="BT15" s="55"/>
      <c r="BU15" s="55">
        <f>IF(AND('Master Data'!$N$25=""),"",IF(AND('Master Data'!$N$27='Copy of GA55 Check &amp; Edit'!AX15),'Master Data'!$N$31,BU14))</f>
        <v>38000</v>
      </c>
      <c r="BV15" s="54"/>
      <c r="BW15" s="54"/>
      <c r="BX15" s="55" t="str">
        <f t="shared" si="12"/>
        <v/>
      </c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109"/>
      <c r="CJ15" s="109"/>
      <c r="CK15" s="109"/>
      <c r="CL15" s="109"/>
      <c r="CM15" s="109"/>
      <c r="CN15" s="109"/>
      <c r="CO15" s="109"/>
      <c r="CP15" s="108"/>
      <c r="CQ15" s="108"/>
      <c r="CR15" s="108"/>
      <c r="CS15" s="108"/>
      <c r="CT15" s="108"/>
    </row>
    <row r="16" ht="21.0" customHeight="1">
      <c r="A16" s="1" t="str">
        <f t="shared" si="1"/>
        <v>#REF!</v>
      </c>
      <c r="B16" s="96" t="str">
        <f t="shared" si="6"/>
        <v>#REF!</v>
      </c>
      <c r="D16" s="111">
        <f t="shared" si="7"/>
        <v>45962</v>
      </c>
      <c r="E16" s="112">
        <v>71400.0</v>
      </c>
      <c r="F16" s="113" t="str">
        <f>_xlfn.IFERROR(IF(D16="","",IF(D16=$AX$24,"",IF(AND(D16=$AX$28),"",IF(AND('Master Data'!$I$28='Copy of GA55 Check &amp; Edit'!$AP$5),VLOOKUP(D16,Copy of GA55 Check &amp; Edit!ram,7,0),"")))),"")</f>
        <v>#ERROR!</v>
      </c>
      <c r="G16" s="113" t="str">
        <f>_xlfn.IFERROR(IF(D16="","",IF(D16=$AX$24,"",IF(AND(D16=$AX$25),"",IF(AND(D16=$AX$26),"",IF(AND(D16=$AX$27),"",IF(AND(D16=$AX$28),"",IF(AND(D16=$AX$29),"",IF(AND('Master Data'!$I$28='Copy of GA55 Check &amp; Edit'!$AP$6),"",VLOOKUP(D16,Copy of GA55 Check &amp; Edit!ram,8,0))))))))),"")</f>
        <v>#ERROR!</v>
      </c>
      <c r="H16" s="113" t="str">
        <f>IFERROR(IF(D16="","",IF(AND(E16=""),"",IF(OR(D16=$AX$24,D16=$AX$25,D16=$AX$26,D16=$AX$27,D16=$AX$28,D16=$AX$29),"",IF(AND('Master Data'!$I$29='Copy of GA55 Check &amp; Edit'!$AP$5),'Master Data'!$B$44,"")))),"")</f>
        <v/>
      </c>
      <c r="I16" s="113" t="str">
        <f>IFERROR(IF(D16="","",IF(AND(E16=""),"",IF(OR(D16=$AX$24,D16=$AX$25,D16=$AX$26,D16=$AX$27,D16=$AX$28,D16=$AX$29),"",IF(AND('Master Data'!$I$29='Copy of GA55 Check &amp; Edit'!$AP$5,'Master Data'!$E$29='Copy of GA55 Check &amp; Edit'!$AO$5),'Master Data'!$E$31,"0")))),"")</f>
        <v>0</v>
      </c>
      <c r="J16" s="113" t="str">
        <f>IFERROR(IF(OR('Master Data'!$E$33=$AO$6,'Master Data'!$E$33=""),"",IF(D16="","",IF(AND(E16=""),"",IF(OR(D16=$AX$24,D16=$AX$25,D16=$AX$26,D16=$AX$27,D16=$AX$28,D16=$AX$29),"",IF(AND('Master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6" s="113" t="str">
        <f>IFERROR(IF(D16="","",IF(AND(E16=""),"",IF(OR(D16=$AX$24,D16=$AX$25,D16=$AX$26,D16=$AX$27,D16=$AX$28,D16=$AX$29),"",IF(AND('Master Data'!$I$29='Copy of GA55 Check &amp; Edit'!$AP$5),'Master Data'!$C$44,"")))),"")</f>
        <v/>
      </c>
      <c r="L16" s="113" t="str">
        <f>IFERROR(IF(D16="","",IF(AND(E16=""),"",IF(OR(D16=$AX$24,D16=$AX$25,D16=$AX$26,D16=$AX$27,D16=$AX$28,D16=$AX$29),"",IF(AND('Master Data'!$I$29='Copy of GA55 Check &amp; Edit'!$AP$6),"",'Master Data'!$D$44)))),"")</f>
        <v/>
      </c>
      <c r="M16" s="113" t="str">
        <f>IFERROR(IF(D16="","",IF(AND(E16=""),"",IF(OR(D16=$AX$24,D16=$AX$25,D16=$AX$26,D16=$AX$27,D16=$AX$28,D16=$AX$29),"",IF(AND('Master Data'!$I$29='Copy of GA55 Check &amp; Edit'!$AP$6),"",'Master Data'!$E$44)))),"")</f>
        <v/>
      </c>
      <c r="N16" s="113" t="str">
        <f>_xlfn.IFERROR(IF(D16="","",IF(AND('Master Data'!$I$28='Copy of GA55 Check &amp; Edit'!$AP$6),"",IF(AND('Master Data'!$I$24='Copy of GA55 Check &amp; Edit'!$AO$6),"0",IF(AND(D16="Bonus"),VLOOKUP(D16,Copy of GA55 Check &amp; Edit!ram,4,0),"")))),"")</f>
        <v>#ERROR!</v>
      </c>
      <c r="O16" s="114" t="str">
        <f>IF(D16="","",IF('Master Data'!$N$25="","",SUM(E16:N16)))</f>
        <v>#ERROR!</v>
      </c>
      <c r="P16" s="103" t="str">
        <f>_xlfn.IFERROR(IF(OR('Master Data'!$I$28='Copy of GA55 Check &amp; Edit'!$AP$6,D16=""),"",IF(AND(D16=$AX$24),"",IF(AND(D16=$AX$25),"",IF(AND(D16=$AX$26),"",IF(AND(D16=$AX$27),"",IF(AND(D16=$AX$28),"",IF(AND(D16=$AX$29),"",IF(AND(E16=""),"",VLOOKUP(D16,Copy of GA55 Check &amp; Edit!ram,11,0))))))))),"")</f>
        <v>#ERROR!</v>
      </c>
      <c r="Q16" s="102" t="str">
        <f>_xlfn.IFERROR(IF(AND('Master Data'!$I$28='Copy of GA55 Check &amp; Edit'!$AP$6),"",IF(AND(D16=$AX$25),"",IF(AND(D16=$AX$28),"",IF(AND(D16=$AX$29),"",IF(AND(D16=""),"",IF(AND(BB20=""),"",VLOOKUP(D16,Copy of GA55 Check &amp; Edit!ram,12,0))))))),"")</f>
        <v>#ERROR!</v>
      </c>
      <c r="R16" s="103" t="str">
        <f>IFERROR(IF(OR('Master Data'!$I$29='Copy of GA55 Check &amp; Edit'!$AP$6,D16=""),"",IF(AND(D16=$AX$24),"",IF(AND(D16=$AX$25),"",IF(AND(D16=$AX$26),"",IF(AND(D16=$AX$27),"",IF(AND(D16=$AX$28),"",IF(AND(D16=$AX$29),"",IF(AND(E16=""),"",'Master Data'!$I$44)))))))),"")</f>
        <v/>
      </c>
      <c r="S16" s="103" t="str">
        <f>_xlfn.IFERROR(IF(OR('Master Data'!$I$28='Copy of GA55 Check &amp; Edit'!$AP$6),"",IF(D16="","",IF(E16="","",IF(AND(D16=$AX$24),"",IF(AND(D16=$AX$25),"",IF(AND(D16=$AX$26),"",IF(AND(D16=$AX$27),"",IF(AND(D16=$AX$28),"",IF(AND(D16=$AX$29),"",VLOOKUP(D16,Copy of GA55 Check &amp; Edit!ram,10,0)))))))))),"")</f>
        <v>#ERROR!</v>
      </c>
      <c r="T16" s="103">
        <f>IFERROR(IF(OR('Master Data'!$I$29='Copy of GA55 Check &amp; Edit'!$AP$6,D16=""),"",IF(AND(D16=$AX$24),"",IF(AND(D16=$AX$25),"",IF(AND(D16=$AX$26),"",IF(AND(D16=$AX$27),"",IF(AND(D16=$AX$28),"",IF(AND(D16=$AX$29),"",IF(AND(E16=""),"",'Master Data'!$K$44)))))))),"")</f>
        <v>3000</v>
      </c>
      <c r="U16" s="103">
        <f>IFERROR(IF(OR('Master Data'!$I$29='Copy of GA55 Check &amp; Edit'!$AP$6,D16=""),"",IF(AND(D16=$AX$24),"",IF(AND(D16=$AX$25),"",IF(AND(D16=$AX$26),"",IF(AND(D16=$AX$27),"",IF(AND(D16=$AX$28),"",IF(AND(D16=$AX$29),"",IF(AND(E16=""),"",'Master Data'!$L$44)))))))),"")</f>
        <v>2100</v>
      </c>
      <c r="V16" s="103" t="str">
        <f>IFERROR(IF(OR('Master Data'!$I$29='Copy of GA55 Check &amp; Edit'!$AP$6,D16=""),"",IF(AND(D16=$AX$24),"",IF(AND(D16=$AX$25),"",IF(AND(D16=$AX$26),"",IF(AND(D16=$AX$27),"",IF(AND(D16=$AX$28),"",IF(AND(D16=$AX$29),"",IF(AND(E16=""),"",'Master Data'!$M$44)))))))),"")</f>
        <v/>
      </c>
      <c r="W16" s="103" t="str">
        <f>IFERROR(IF(OR('Master Data'!$I$29='Copy of GA55 Check &amp; Edit'!$AP$6,D16=""),"",IF(AND(D16=$AX$24),"",IF(AND(D16=$AX$25),"",IF(AND(D16=$AX$26),"",IF(AND(D16=$AX$27),"",IF(AND(D16=$AX$28),"",IF(AND(D16=$AX$29),"",IF(AND(E16=""),"",'Master Data'!$N$44)))))))),"")</f>
        <v/>
      </c>
      <c r="X16" s="103" t="str">
        <f>IFERROR(IF(OR('Master Data'!$I$29='Copy of GA55 Check &amp; Edit'!$AP$6,D16=""),"",IF(AND(E16=""),"",IF(AND('Copy of GA55 Check &amp; Edit'!D16='Copy of GA55 Check &amp; Edit'!$AT$17,'Master Data'!$D$18="Gazetted"),500,IF(AND('Copy of GA55 Check &amp; Edit'!D16='Copy of GA55 Check &amp; Edit'!$AT$17,'Master Data'!$D$18="Non-Gazetted"),250,"")))),"")</f>
        <v/>
      </c>
      <c r="Y16" s="103" t="str">
        <f>IFERROR(IF(D16="","",IF(AND(E16=""),"",IF(AND(D16=$AX$24),"",IF(AND(D16=$AX$25),"",IF(AND(D16=$AX$26),"",IF(AND(D16=$AX$27),"",IF(AND(D16=$AX$28),"",IF(AND(D16=$AX$29),"",IF(OR('Master Data'!$I$29='Copy of GA55 Check &amp; Edit'!$AP$6,D16=""),"",$Y$7))))))))),"")</f>
        <v/>
      </c>
      <c r="Z16" s="103" t="str">
        <f>_xlfn.IFERROR(IF(OR('Master Data'!$I$28='Copy of GA55 Check &amp; Edit'!$AP$6),"",IF(D16="","",IF(E16="","",VLOOKUP(D16,Copy of GA55 Check &amp; Edit!ram,9,0)))),"")</f>
        <v>#ERROR!</v>
      </c>
      <c r="AA16" s="103" t="str">
        <f>IFERROR(IF(OR('Master Data'!$I$29='Copy of GA55 Check &amp; Edit'!$AP$6,D16="",'Master Data'!$N$35=""),"",IF(AND(E16=""),"",IF('Copy of GA55 Check &amp; Edit'!D16='Copy of GA55 Check &amp; Edit'!$AT$9,'Master Data'!$N$35,""))),"")</f>
        <v/>
      </c>
      <c r="AB16" s="115" t="str">
        <f t="shared" si="8"/>
        <v>0</v>
      </c>
      <c r="AC16" s="116" t="str">
        <f t="shared" si="9"/>
        <v/>
      </c>
      <c r="AD16" s="117"/>
      <c r="AE16" s="118"/>
      <c r="AF16" s="1"/>
      <c r="AG16" s="108"/>
      <c r="AH16" s="109"/>
      <c r="AI16" s="109"/>
      <c r="AJ16" s="109"/>
      <c r="AK16" s="109"/>
      <c r="AL16" s="109"/>
      <c r="AM16" s="54"/>
      <c r="AN16" s="54"/>
      <c r="AO16" s="54"/>
      <c r="AP16" s="54"/>
      <c r="AQ16" s="54"/>
      <c r="AR16" s="54"/>
      <c r="AS16" s="54" t="s">
        <v>75</v>
      </c>
      <c r="AT16" s="89">
        <v>45962.0</v>
      </c>
      <c r="AU16" s="54" t="s">
        <v>76</v>
      </c>
      <c r="AV16" s="54"/>
      <c r="AW16" s="125" t="s">
        <v>71</v>
      </c>
      <c r="AX16" s="89">
        <v>45839.0</v>
      </c>
      <c r="AY16" s="54">
        <v>7.0</v>
      </c>
      <c r="AZ16" s="128">
        <f>IF(AND('Master Data'!F41=""),"",'Master Data'!F41)</f>
        <v>45717</v>
      </c>
      <c r="BA16" s="55">
        <f>IF(AND('Master Data'!$N$25=""),"",IF(AND('Master Data'!$N$27='Copy of GA55 Check &amp; Edit'!$AP$6),'Copy of GA55 Check &amp; Edit'!$AZ$15,BU16))</f>
        <v>39100</v>
      </c>
      <c r="BB16" s="55">
        <f t="shared" si="3"/>
        <v>39100</v>
      </c>
      <c r="BC16" s="54">
        <f>IF(AND('Master Data'!$N$25=""),"",ROUND(55%*BA16,0))</f>
        <v>21505</v>
      </c>
      <c r="BD16" s="54">
        <f t="shared" si="4"/>
        <v>21505</v>
      </c>
      <c r="BE16" s="126">
        <f>IFERROR(IF(AND('Master Data'!$N$25=""),"",ROUND('Master Data'!$E$35%*BB16,0)),"")</f>
        <v>3910</v>
      </c>
      <c r="BF16" s="55" t="str">
        <f>'Master Data'!F48</f>
        <v/>
      </c>
      <c r="BG16" s="55">
        <f>IFERROR(IF(OR('Master Data'!$I$29='Copy of GA55 Check &amp; Edit'!$AP$6),"",IF('Master Data'!$I$31="GPF-2004",IF(BB16&lt;18001,265,IF(BB16&lt;33501,440,IF(BB16&lt;54001,658,875))),IF(AND('Master Data'!$I$31="GPF",'Master Data'!$J$44=""),IF(BB16&lt;18001,265,IF(BB16&lt;33501,440,IF(BB16&lt;54001,658,875))),'Master Data'!$J$44))),"")</f>
        <v>658</v>
      </c>
      <c r="BH16" s="54" t="str">
        <f>IFERROR(IF(OR('Master Data'!$I$29='Copy of GA55 Check &amp; Edit'!$AP$6),"",'Master Data'!$G$44),"")</f>
        <v/>
      </c>
      <c r="BI16" s="127">
        <f>IFERROR(IF(OR('Master Data'!$I$29='Copy of GA55 Check &amp; Edit'!$AP$6),"",IF('Master Data'!$I$31="GPF-2004",IF(BB16&lt;23101,1450,IF(BB16&lt;28501,1625,IF(BB16&lt;38501,2100,IF(BB16&lt;51501,2850,IF(BB16&lt;62001,3575,IF(BB16&lt;72001,4200,IF(BB16&lt;80001,4800,IF(BB16&lt;116001,6150,IF(BB16&lt;167001,8900,10500))))))))),'Master Data'!$H$44)),"")</f>
        <v>2850</v>
      </c>
      <c r="BJ16" s="55">
        <f t="shared" si="5"/>
        <v>39100</v>
      </c>
      <c r="BK16" s="130">
        <v>45839.0</v>
      </c>
      <c r="BL16" s="130">
        <f>IFERROR(IF('Master Data'!$N$25="","",IF('Master Data'!$F$41="","",IF(AND($AZ$17&gt;$AZ$9),"",DATE(YEAR(BL15),MONTH(BL15)+1,DAY(BL15))))),"")</f>
        <v>45839</v>
      </c>
      <c r="BM16" s="130">
        <f>IFERROR(IF('Master Data'!$N$25="","",IF('Master Data'!$F$41="","",IF(AND($AZ$17&gt;$AZ$9),"",DATE(YEAR(BM15),MONTH(BM15)+1,DAY(BM15))))),"")</f>
        <v>45839</v>
      </c>
      <c r="BN16" s="130">
        <f t="shared" si="10"/>
        <v>45839</v>
      </c>
      <c r="BO16" s="130">
        <f t="shared" si="13"/>
        <v>45839</v>
      </c>
      <c r="BP16" s="130"/>
      <c r="BQ16" s="130">
        <f t="shared" si="14"/>
        <v>45839</v>
      </c>
      <c r="BR16" s="130"/>
      <c r="BS16" s="55" t="str">
        <f>OFFSET(#REF!,MATCH(BO16,$D$9:$D$27,0)+1,MATCH(BO16,D12:N12,0))</f>
        <v>#REF!</v>
      </c>
      <c r="BT16" s="55"/>
      <c r="BU16" s="55">
        <f>IF(AND('Master Data'!$N$25=""),"",IF(AND('Master Data'!$N$27='Copy of GA55 Check &amp; Edit'!AX16),'Master Data'!$N$31,MROUND(BU15*1.03,100)))</f>
        <v>39100</v>
      </c>
      <c r="BV16" s="54"/>
      <c r="BW16" s="54"/>
      <c r="BX16" s="55" t="str">
        <f t="shared" si="12"/>
        <v/>
      </c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109"/>
      <c r="CJ16" s="109"/>
      <c r="CK16" s="109"/>
      <c r="CL16" s="109"/>
      <c r="CM16" s="109"/>
      <c r="CN16" s="109"/>
      <c r="CO16" s="109"/>
      <c r="CP16" s="108"/>
      <c r="CQ16" s="108"/>
      <c r="CR16" s="108"/>
      <c r="CS16" s="108"/>
      <c r="CT16" s="108"/>
    </row>
    <row r="17" ht="21.0" customHeight="1">
      <c r="A17" s="1" t="str">
        <f t="shared" si="1"/>
        <v>#REF!</v>
      </c>
      <c r="B17" s="96" t="str">
        <f t="shared" si="6"/>
        <v>#REF!</v>
      </c>
      <c r="D17" s="111">
        <f t="shared" si="7"/>
        <v>45992</v>
      </c>
      <c r="E17" s="112">
        <v>71400.0</v>
      </c>
      <c r="F17" s="113" t="str">
        <f>_xlfn.IFERROR(IF(D17="","",IF(D17=$AX$24,"",IF(AND(D17=$AX$28),"",IF(AND('Master Data'!$I$28='Copy of GA55 Check &amp; Edit'!$AP$5),VLOOKUP(D17,Copy of GA55 Check &amp; Edit!ram,7,0),"")))),"")</f>
        <v>#ERROR!</v>
      </c>
      <c r="G17" s="113" t="str">
        <f>_xlfn.IFERROR(IF(D17="","",IF(D17=$AX$24,"",IF(AND(D17=$AX$25),"",IF(AND(D17=$AX$26),"",IF(AND(D17=$AX$27),"",IF(AND(D17=$AX$28),"",IF(AND(D17=$AX$29),"",IF(AND('Master Data'!$I$28='Copy of GA55 Check &amp; Edit'!$AP$6),"",VLOOKUP(D17,Copy of GA55 Check &amp; Edit!ram,8,0))))))))),"")</f>
        <v>#ERROR!</v>
      </c>
      <c r="H17" s="113" t="str">
        <f>IFERROR(IF(D17="","",IF(AND(E17=""),"",IF(OR(D17=$AX$24,D17=$AX$25,D17=$AX$26,D17=$AX$27,D17=$AX$28,D17=$AX$29),"",IF(AND('Master Data'!$I$29='Copy of GA55 Check &amp; Edit'!$AP$5),'Master Data'!$B$44,"")))),"")</f>
        <v/>
      </c>
      <c r="I17" s="113" t="str">
        <f>IFERROR(IF(D17="","",IF(AND(E17=""),"",IF(OR(D17=$AX$24,D17=$AX$25,D17=$AX$26,D17=$AX$27,D17=$AX$28,D17=$AX$29),"",IF(AND('Master Data'!$I$29='Copy of GA55 Check &amp; Edit'!$AP$5,'Master Data'!$E$29='Copy of GA55 Check &amp; Edit'!$AO$5),'Master Data'!$E$31,"0")))),"")</f>
        <v>0</v>
      </c>
      <c r="J17" s="113" t="str">
        <f>IFERROR(IF(OR('Master Data'!$E$33=$AO$6,'Master Data'!$E$33=""),"",IF(D17="","",IF(AND(E17=""),"",IF(OR(D17=$AX$24,D17=$AX$25,D17=$AX$26,D17=$AX$27,D17=$AX$28,D17=$AX$29),"",IF(AND('Master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7" s="113" t="str">
        <f>IFERROR(IF(D17="","",IF(AND(E17=""),"",IF(OR(D17=$AX$24,D17=$AX$25,D17=$AX$26,D17=$AX$27,D17=$AX$28,D17=$AX$29),"",IF(AND('Master Data'!$I$29='Copy of GA55 Check &amp; Edit'!$AP$5),'Master Data'!$C$44,"")))),"")</f>
        <v/>
      </c>
      <c r="L17" s="113" t="str">
        <f>IFERROR(IF(D17="","",IF(AND(E17=""),"",IF(OR(D17=$AX$24,D17=$AX$25,D17=$AX$26,D17=$AX$27,D17=$AX$28,D17=$AX$29),"",IF(AND('Master Data'!$I$29='Copy of GA55 Check &amp; Edit'!$AP$6),"",'Master Data'!$D$44)))),"")</f>
        <v/>
      </c>
      <c r="M17" s="113" t="str">
        <f>IFERROR(IF(D17="","",IF(AND(E17=""),"",IF(OR(D17=$AX$24,D17=$AX$25,D17=$AX$26,D17=$AX$27,D17=$AX$28,D17=$AX$29),"",IF(AND('Master Data'!$I$29='Copy of GA55 Check &amp; Edit'!$AP$6),"",'Master Data'!$E$44)))),"")</f>
        <v/>
      </c>
      <c r="N17" s="113" t="str">
        <f>_xlfn.IFERROR(IF(D17="","",IF(AND('Master Data'!$I$28='Copy of GA55 Check &amp; Edit'!$AP$6),"",IF(AND('Master Data'!$I$24='Copy of GA55 Check &amp; Edit'!$AO$6),"0",IF(AND(D17="Bonus"),VLOOKUP(D17,Copy of GA55 Check &amp; Edit!ram,4,0),"")))),"")</f>
        <v>#ERROR!</v>
      </c>
      <c r="O17" s="114" t="str">
        <f>IF(D17="","",IF('Master Data'!$N$25="","",SUM(E17:N17)))</f>
        <v>#ERROR!</v>
      </c>
      <c r="P17" s="103" t="str">
        <f>_xlfn.IFERROR(IF(OR('Master Data'!$I$28='Copy of GA55 Check &amp; Edit'!$AP$6,D17=""),"",IF(AND(D17=$AX$24),"",IF(AND(D17=$AX$25),"",IF(AND(D17=$AX$26),"",IF(AND(D17=$AX$27),"",IF(AND(D17=$AX$28),"",IF(AND(D17=$AX$29),"",IF(AND(E17=""),"",VLOOKUP(D17,Copy of GA55 Check &amp; Edit!ram,11,0))))))))),"")</f>
        <v>#ERROR!</v>
      </c>
      <c r="Q17" s="102" t="str">
        <f>_xlfn.IFERROR(IF(AND('Master Data'!$I$28='Copy of GA55 Check &amp; Edit'!$AP$6),"",IF(AND(D17=$AX$25),"",IF(AND(D17=$AX$28),"",IF(AND(D17=$AX$29),"",IF(AND(D17=""),"",IF(AND(BB21=""),"",VLOOKUP(D17,Copy of GA55 Check &amp; Edit!ram,12,0))))))),"")</f>
        <v>#ERROR!</v>
      </c>
      <c r="R17" s="103" t="str">
        <f>IFERROR(IF(OR('Master Data'!$I$29='Copy of GA55 Check &amp; Edit'!$AP$6,D17=""),"",IF(AND(D17=$AX$24),"",IF(AND(D17=$AX$25),"",IF(AND(D17=$AX$26),"",IF(AND(D17=$AX$27),"",IF(AND(D17=$AX$28),"",IF(AND(D17=$AX$29),"",IF(AND(E17=""),"",'Master Data'!$I$44)))))))),"")</f>
        <v/>
      </c>
      <c r="S17" s="103" t="str">
        <f>_xlfn.IFERROR(IF(OR('Master Data'!$I$28='Copy of GA55 Check &amp; Edit'!$AP$6),"",IF(D17="","",IF(E17="","",IF(AND(D17=$AX$24),"",IF(AND(D17=$AX$25),"",IF(AND(D17=$AX$26),"",IF(AND(D17=$AX$27),"",IF(AND(D17=$AX$28),"",IF(AND(D17=$AX$29),"",VLOOKUP(D17,Copy of GA55 Check &amp; Edit!ram,10,0)))))))))),"")</f>
        <v>#ERROR!</v>
      </c>
      <c r="T17" s="103">
        <f>IFERROR(IF(OR('Master Data'!$I$29='Copy of GA55 Check &amp; Edit'!$AP$6,D17=""),"",IF(AND(D17=$AX$24),"",IF(AND(D17=$AX$25),"",IF(AND(D17=$AX$26),"",IF(AND(D17=$AX$27),"",IF(AND(D17=$AX$28),"",IF(AND(D17=$AX$29),"",IF(AND(E17=""),"",'Master Data'!$K$44)))))))),"")</f>
        <v>3000</v>
      </c>
      <c r="U17" s="103">
        <f>IFERROR(IF(OR('Master Data'!$I$29='Copy of GA55 Check &amp; Edit'!$AP$6,D17=""),"",IF(AND(D17=$AX$24),"",IF(AND(D17=$AX$25),"",IF(AND(D17=$AX$26),"",IF(AND(D17=$AX$27),"",IF(AND(D17=$AX$28),"",IF(AND(D17=$AX$29),"",IF(AND(E17=""),"",'Master Data'!$L$44)))))))),"")</f>
        <v>2100</v>
      </c>
      <c r="V17" s="103" t="str">
        <f>IFERROR(IF(OR('Master Data'!$I$29='Copy of GA55 Check &amp; Edit'!$AP$6,D17=""),"",IF(AND(D17=$AX$24),"",IF(AND(D17=$AX$25),"",IF(AND(D17=$AX$26),"",IF(AND(D17=$AX$27),"",IF(AND(D17=$AX$28),"",IF(AND(D17=$AX$29),"",IF(AND(E17=""),"",'Master Data'!$M$44)))))))),"")</f>
        <v/>
      </c>
      <c r="W17" s="103" t="str">
        <f>IFERROR(IF(OR('Master Data'!$I$29='Copy of GA55 Check &amp; Edit'!$AP$6,D17=""),"",IF(AND(D17=$AX$24),"",IF(AND(D17=$AX$25),"",IF(AND(D17=$AX$26),"",IF(AND(D17=$AX$27),"",IF(AND(D17=$AX$28),"",IF(AND(D17=$AX$29),"",IF(AND(E17=""),"",'Master Data'!$N$44)))))))),"")</f>
        <v/>
      </c>
      <c r="X17" s="103">
        <f>IFERROR(IF(OR('Master Data'!$I$29='Copy of GA55 Check &amp; Edit'!$AP$6,D17=""),"",IF(AND(E17=""),"",IF(AND('Copy of GA55 Check &amp; Edit'!D17='Copy of GA55 Check &amp; Edit'!$AT$17,'Master Data'!$D$18="Gazetted"),500,IF(AND('Copy of GA55 Check &amp; Edit'!D17='Copy of GA55 Check &amp; Edit'!$AT$17,'Master Data'!$D$18="Non-Gazetted"),250,"")))),"")</f>
        <v>250</v>
      </c>
      <c r="Y17" s="103" t="str">
        <f>IFERROR(IF(D17="","",IF(AND(E17=""),"",IF(AND(D17=$AX$24),"",IF(AND(D17=$AX$25),"",IF(AND(D17=$AX$26),"",IF(AND(D17=$AX$27),"",IF(AND(D17=$AX$28),"",IF(AND(D17=$AX$29),"",IF(OR('Master Data'!$I$29='Copy of GA55 Check &amp; Edit'!$AP$6,D17=""),"",$Y$7))))))))),"")</f>
        <v/>
      </c>
      <c r="Z17" s="103" t="str">
        <f>_xlfn.IFERROR(IF(OR('Master Data'!$I$28='Copy of GA55 Check &amp; Edit'!$AP$6),"",IF(D17="","",IF(E17="","",VLOOKUP(D17,Copy of GA55 Check &amp; Edit!ram,9,0)))),"")</f>
        <v>#ERROR!</v>
      </c>
      <c r="AA17" s="103" t="str">
        <f>IFERROR(IF(OR('Master Data'!$I$29='Copy of GA55 Check &amp; Edit'!$AP$6,D17="",'Master Data'!$N$35=""),"",IF(AND(E17=""),"",IF('Copy of GA55 Check &amp; Edit'!D17='Copy of GA55 Check &amp; Edit'!$AT$9,'Master Data'!$N$35,""))),"")</f>
        <v/>
      </c>
      <c r="AB17" s="115" t="str">
        <f t="shared" si="8"/>
        <v>0</v>
      </c>
      <c r="AC17" s="116" t="str">
        <f t="shared" si="9"/>
        <v/>
      </c>
      <c r="AD17" s="117"/>
      <c r="AE17" s="118"/>
      <c r="AF17" s="1"/>
      <c r="AG17" s="108"/>
      <c r="AH17" s="109"/>
      <c r="AI17" s="109"/>
      <c r="AJ17" s="109"/>
      <c r="AK17" s="109"/>
      <c r="AL17" s="109"/>
      <c r="AM17" s="54"/>
      <c r="AN17" s="54"/>
      <c r="AO17" s="54"/>
      <c r="AP17" s="54"/>
      <c r="AQ17" s="54"/>
      <c r="AR17" s="54"/>
      <c r="AS17" s="54" t="s">
        <v>77</v>
      </c>
      <c r="AT17" s="89">
        <v>45992.0</v>
      </c>
      <c r="AU17" s="54" t="s">
        <v>78</v>
      </c>
      <c r="AV17" s="54"/>
      <c r="AW17" s="125" t="s">
        <v>73</v>
      </c>
      <c r="AX17" s="89">
        <v>45870.0</v>
      </c>
      <c r="AY17" s="54">
        <v>8.0</v>
      </c>
      <c r="AZ17" s="128">
        <f>IF(AND('Master Data'!H41=""),"",'Master Data'!H41)</f>
        <v>46054</v>
      </c>
      <c r="BA17" s="55">
        <f>IF(AND('Master Data'!$N$25=""),"",IF(AND('Master Data'!$N$27='Copy of GA55 Check &amp; Edit'!$AP$6),'Copy of GA55 Check &amp; Edit'!$AZ$15,BU17))</f>
        <v>39100</v>
      </c>
      <c r="BB17" s="55">
        <f t="shared" si="3"/>
        <v>39100</v>
      </c>
      <c r="BC17" s="54">
        <f>IF(AND('Master Data'!$N$25=""),"",ROUND(55%*BA17,0))</f>
        <v>21505</v>
      </c>
      <c r="BD17" s="54">
        <f t="shared" si="4"/>
        <v>21505</v>
      </c>
      <c r="BE17" s="126">
        <f>IFERROR(IF(AND('Master Data'!$N$25=""),"",ROUND('Master Data'!$E$35%*BB17,0)),"")</f>
        <v>3910</v>
      </c>
      <c r="BF17" s="55" t="str">
        <f>'Master Data'!G48</f>
        <v/>
      </c>
      <c r="BG17" s="55">
        <f>IFERROR(IF(OR('Master Data'!$I$29='Copy of GA55 Check &amp; Edit'!$AP$6),"",IF('Master Data'!$I$31="GPF-2004",IF(BB17&lt;18001,265,IF(BB17&lt;33501,440,IF(BB17&lt;54001,658,875))),IF(AND('Master Data'!$I$31="GPF",'Master Data'!$J$44=""),IF(BB17&lt;18001,265,IF(BB17&lt;33501,440,IF(BB17&lt;54001,658,875))),'Master Data'!$J$44))),"")</f>
        <v>658</v>
      </c>
      <c r="BH17" s="54" t="str">
        <f>IFERROR(IF(OR('Master Data'!$I$29='Copy of GA55 Check &amp; Edit'!$AP$6),"",'Master Data'!$G$44),"")</f>
        <v/>
      </c>
      <c r="BI17" s="127">
        <f>IFERROR(IF(OR('Master Data'!$I$29='Copy of GA55 Check &amp; Edit'!$AP$6),"",IF('Master Data'!$I$31="GPF-2004",IF(BB17&lt;23101,1450,IF(BB17&lt;28501,1625,IF(BB17&lt;38501,2100,IF(BB17&lt;51501,2850,IF(BB17&lt;62001,3575,IF(BB17&lt;72001,4200,IF(BB17&lt;80001,4800,IF(BB17&lt;116001,6150,IF(BB17&lt;167001,8900,10500))))))))),'Master Data'!$H$44)),"")</f>
        <v>2850</v>
      </c>
      <c r="BJ17" s="55">
        <f t="shared" ref="BJ17:BJ23" si="15">BJ16</f>
        <v>39100</v>
      </c>
      <c r="BK17" s="130">
        <v>45870.0</v>
      </c>
      <c r="BL17" s="130">
        <f>IFERROR(IF('Master Data'!$N$25="","",IF('Master Data'!$F$41="","",IF(AND($AZ$17&gt;$AZ$9),"",DATE(YEAR(BL16),MONTH(BL16)+1,DAY(BL16))))),"")</f>
        <v>45870</v>
      </c>
      <c r="BM17" s="130">
        <f>IFERROR(IF('Master Data'!$N$25="","",IF('Master Data'!$F$41="","",IF(AND($AZ$17&gt;$AZ$9),"",DATE(YEAR(BM16),MONTH(BM16)+1,DAY(BM16))))),"")</f>
        <v>45870</v>
      </c>
      <c r="BN17" s="130">
        <f t="shared" si="10"/>
        <v>45870</v>
      </c>
      <c r="BO17" s="130">
        <f t="shared" si="13"/>
        <v>45870</v>
      </c>
      <c r="BP17" s="130"/>
      <c r="BQ17" s="130">
        <f t="shared" si="14"/>
        <v>45870</v>
      </c>
      <c r="BR17" s="130"/>
      <c r="BS17" s="55">
        <f t="shared" ref="BS17:BS20" si="16">OFFSET(D11,MATCH(BO17,$D$9:$D$27,0)+1,MATCH(BO17,D13:N13,0))</f>
        <v>71400</v>
      </c>
      <c r="BT17" s="55"/>
      <c r="BU17" s="55">
        <f>IF(AND('Master Data'!$N$25=""),"",IF(AND('Master Data'!$N$27='Copy of GA55 Check &amp; Edit'!AX17),'Master Data'!$N$31,BU16))</f>
        <v>39100</v>
      </c>
      <c r="BV17" s="54"/>
      <c r="BW17" s="54"/>
      <c r="BX17" s="55" t="str">
        <f t="shared" si="12"/>
        <v/>
      </c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109"/>
      <c r="CJ17" s="109"/>
      <c r="CK17" s="109"/>
      <c r="CL17" s="109"/>
      <c r="CM17" s="109"/>
      <c r="CN17" s="109"/>
      <c r="CO17" s="109"/>
      <c r="CP17" s="108"/>
      <c r="CQ17" s="108"/>
      <c r="CR17" s="108"/>
      <c r="CS17" s="108"/>
      <c r="CT17" s="108"/>
    </row>
    <row r="18" ht="21.0" customHeight="1">
      <c r="A18" s="1" t="str">
        <f t="shared" si="1"/>
        <v>#REF!</v>
      </c>
      <c r="B18" s="96" t="str">
        <f t="shared" si="6"/>
        <v>#REF!</v>
      </c>
      <c r="D18" s="111">
        <f t="shared" si="7"/>
        <v>46023</v>
      </c>
      <c r="E18" s="112">
        <v>71400.0</v>
      </c>
      <c r="F18" s="113" t="str">
        <f>_xlfn.IFERROR(IF(D18="","",IF(D18=$AX$24,"",IF(AND(D18=$AX$28),"",IF(AND('Master Data'!$I$28='Copy of GA55 Check &amp; Edit'!$AP$5),VLOOKUP(D18,Copy of GA55 Check &amp; Edit!ram,7,0),"")))),"")</f>
        <v>#ERROR!</v>
      </c>
      <c r="G18" s="113" t="str">
        <f>_xlfn.IFERROR(IF(D18="","",IF(D18=$AX$24,"",IF(AND(D18=$AX$25),"",IF(AND(D18=$AX$26),"",IF(AND(D18=$AX$27),"",IF(AND(D18=$AX$28),"",IF(AND(D18=$AX$29),"",IF(AND('Master Data'!$I$28='Copy of GA55 Check &amp; Edit'!$AP$6),"",VLOOKUP(D18,Copy of GA55 Check &amp; Edit!ram,8,0))))))))),"")</f>
        <v>#ERROR!</v>
      </c>
      <c r="H18" s="113" t="str">
        <f>IFERROR(IF(D18="","",IF(AND(E18=""),"",IF(OR(D18=$AX$24,D18=$AX$25,D18=$AX$26,D18=$AX$27,D18=$AX$28,D18=$AX$29),"",IF(AND('Master Data'!$I$29='Copy of GA55 Check &amp; Edit'!$AP$5),'Master Data'!$B$44,"")))),"")</f>
        <v/>
      </c>
      <c r="I18" s="113" t="str">
        <f>IFERROR(IF(D18="","",IF(AND(E18=""),"",IF(OR(D18=$AX$24,D18=$AX$25,D18=$AX$26,D18=$AX$27,D18=$AX$28,D18=$AX$29),"",IF(AND('Master Data'!$I$29='Copy of GA55 Check &amp; Edit'!$AP$5,'Master Data'!$E$29='Copy of GA55 Check &amp; Edit'!$AO$5),'Master Data'!$E$31,"0")))),"")</f>
        <v>0</v>
      </c>
      <c r="J18" s="113" t="str">
        <f>IFERROR(IF(OR('Master Data'!$E$33=$AO$6,'Master Data'!$E$33=""),"",IF(D18="","",IF(AND(E18=""),"",IF(OR(D18=$AX$24,D18=$AX$25,D18=$AX$26,D18=$AX$27,D18=$AX$28,D18=$AX$29),"",IF(AND('Master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8" s="113" t="str">
        <f>IFERROR(IF(D18="","",IF(AND(E18=""),"",IF(OR(D18=$AX$24,D18=$AX$25,D18=$AX$26,D18=$AX$27,D18=$AX$28,D18=$AX$29),"",IF(AND('Master Data'!$I$29='Copy of GA55 Check &amp; Edit'!$AP$5),'Master Data'!$C$44,"")))),"")</f>
        <v/>
      </c>
      <c r="L18" s="113" t="str">
        <f>IFERROR(IF(D18="","",IF(AND(E18=""),"",IF(OR(D18=$AX$24,D18=$AX$25,D18=$AX$26,D18=$AX$27,D18=$AX$28,D18=$AX$29),"",IF(AND('Master Data'!$I$29='Copy of GA55 Check &amp; Edit'!$AP$6),"",'Master Data'!$D$44)))),"")</f>
        <v/>
      </c>
      <c r="M18" s="113" t="str">
        <f>IFERROR(IF(D18="","",IF(AND(E18=""),"",IF(OR(D18=$AX$24,D18=$AX$25,D18=$AX$26,D18=$AX$27,D18=$AX$28,D18=$AX$29),"",IF(AND('Master Data'!$I$29='Copy of GA55 Check &amp; Edit'!$AP$6),"",'Master Data'!$E$44)))),"")</f>
        <v/>
      </c>
      <c r="N18" s="113" t="str">
        <f>_xlfn.IFERROR(IF(D18="","",IF(AND('Master Data'!$I$28='Copy of GA55 Check &amp; Edit'!$AP$6),"",IF(AND('Master Data'!$I$24='Copy of GA55 Check &amp; Edit'!$AO$6),"0",IF(AND(D18="Bonus"),VLOOKUP(D18,Copy of GA55 Check &amp; Edit!ram,4,0),"")))),"")</f>
        <v>#ERROR!</v>
      </c>
      <c r="O18" s="114" t="str">
        <f>IF(D18="","",IF('Master Data'!$N$25="","",SUM(E18:N18)))</f>
        <v>#ERROR!</v>
      </c>
      <c r="P18" s="103" t="str">
        <f>_xlfn.IFERROR(IF(OR('Master Data'!$I$28='Copy of GA55 Check &amp; Edit'!$AP$6,D18=""),"",IF(AND(D18=$AX$24),"",IF(AND(D18=$AX$25),"",IF(AND(D18=$AX$26),"",IF(AND(D18=$AX$27),"",IF(AND(D18=$AX$28),"",IF(AND(D18=$AX$29),"",IF(AND(E18=""),"",VLOOKUP(D18,Copy of GA55 Check &amp; Edit!ram,11,0))))))))),"")</f>
        <v>#ERROR!</v>
      </c>
      <c r="Q18" s="102" t="str">
        <f>_xlfn.IFERROR(IF(AND('Master Data'!$I$28='Copy of GA55 Check &amp; Edit'!$AP$6),"",IF(AND(D18=$AX$25),"",IF(AND(D18=$AX$28),"",IF(AND(D18=$AX$29),"",IF(AND(D18=""),"",IF(AND(BB22=""),"",VLOOKUP(D18,Copy of GA55 Check &amp; Edit!ram,12,0))))))),"")</f>
        <v>#ERROR!</v>
      </c>
      <c r="R18" s="103" t="str">
        <f>IFERROR(IF(OR('Master Data'!$I$29='Copy of GA55 Check &amp; Edit'!$AP$6,D18=""),"",IF(AND(D18=$AX$24),"",IF(AND(D18=$AX$25),"",IF(AND(D18=$AX$26),"",IF(AND(D18=$AX$27),"",IF(AND(D18=$AX$28),"",IF(AND(D18=$AX$29),"",IF(AND(E18=""),"",'Master Data'!$I$44)))))))),"")</f>
        <v/>
      </c>
      <c r="S18" s="103" t="str">
        <f>_xlfn.IFERROR(IF(OR('Master Data'!$I$28='Copy of GA55 Check &amp; Edit'!$AP$6),"",IF(D18="","",IF(E18="","",IF(AND(D18=$AX$24),"",IF(AND(D18=$AX$25),"",IF(AND(D18=$AX$26),"",IF(AND(D18=$AX$27),"",IF(AND(D18=$AX$28),"",IF(AND(D18=$AX$29),"",VLOOKUP(D18,Copy of GA55 Check &amp; Edit!ram,10,0)))))))))),"")</f>
        <v>#ERROR!</v>
      </c>
      <c r="T18" s="103">
        <f>IFERROR(IF(OR('Master Data'!$I$29='Copy of GA55 Check &amp; Edit'!$AP$6,D18=""),"",IF(AND(D18=$AX$24),"",IF(AND(D18=$AX$25),"",IF(AND(D18=$AX$26),"",IF(AND(D18=$AX$27),"",IF(AND(D18=$AX$28),"",IF(AND(D18=$AX$29),"",IF(AND(E18=""),"",'Master Data'!$K$44)))))))),"")</f>
        <v>3000</v>
      </c>
      <c r="U18" s="103">
        <f>IFERROR(IF(OR('Master Data'!$I$29='Copy of GA55 Check &amp; Edit'!$AP$6,D18=""),"",IF(AND(D18=$AX$24),"",IF(AND(D18=$AX$25),"",IF(AND(D18=$AX$26),"",IF(AND(D18=$AX$27),"",IF(AND(D18=$AX$28),"",IF(AND(D18=$AX$29),"",IF(AND(E18=""),"",'Master Data'!$L$44)))))))),"")</f>
        <v>2100</v>
      </c>
      <c r="V18" s="103" t="str">
        <f>IFERROR(IF(OR('Master Data'!$I$29='Copy of GA55 Check &amp; Edit'!$AP$6,D18=""),"",IF(AND(D18=$AX$24),"",IF(AND(D18=$AX$25),"",IF(AND(D18=$AX$26),"",IF(AND(D18=$AX$27),"",IF(AND(D18=$AX$28),"",IF(AND(D18=$AX$29),"",IF(AND(E18=""),"",'Master Data'!$M$44)))))))),"")</f>
        <v/>
      </c>
      <c r="W18" s="103" t="str">
        <f>IFERROR(IF(OR('Master Data'!$I$29='Copy of GA55 Check &amp; Edit'!$AP$6,D18=""),"",IF(AND(D18=$AX$24),"",IF(AND(D18=$AX$25),"",IF(AND(D18=$AX$26),"",IF(AND(D18=$AX$27),"",IF(AND(D18=$AX$28),"",IF(AND(D18=$AX$29),"",IF(AND(E18=""),"",'Master Data'!$N$44)))))))),"")</f>
        <v/>
      </c>
      <c r="X18" s="103" t="str">
        <f>IFERROR(IF(OR('Master Data'!$I$29='Copy of GA55 Check &amp; Edit'!$AP$6,D18=""),"",IF(AND(E18=""),"",IF(AND('Copy of GA55 Check &amp; Edit'!D18='Copy of GA55 Check &amp; Edit'!$AT$17,'Master Data'!$D$18="Gazetted"),500,IF(AND('Copy of GA55 Check &amp; Edit'!D18='Copy of GA55 Check &amp; Edit'!$AT$17,'Master Data'!$D$18="Non-Gazetted"),250,"")))),"")</f>
        <v/>
      </c>
      <c r="Y18" s="103" t="str">
        <f>IFERROR(IF(D18="","",IF(AND(E18=""),"",IF(AND(D18=$AX$24),"",IF(AND(D18=$AX$25),"",IF(AND(D18=$AX$26),"",IF(AND(D18=$AX$27),"",IF(AND(D18=$AX$28),"",IF(AND(D18=$AX$29),"",IF(OR('Master Data'!$I$29='Copy of GA55 Check &amp; Edit'!$AP$6,D18=""),"",$Y$7))))))))),"")</f>
        <v/>
      </c>
      <c r="Z18" s="103" t="str">
        <f>_xlfn.IFERROR(IF(OR('Master Data'!$I$28='Copy of GA55 Check &amp; Edit'!$AP$6),"",IF(D18="","",IF(E18="","",VLOOKUP(D18,Copy of GA55 Check &amp; Edit!ram,9,0)))),"")</f>
        <v>#ERROR!</v>
      </c>
      <c r="AA18" s="103" t="str">
        <f>IFERROR(IF(OR('Master Data'!$I$29='Copy of GA55 Check &amp; Edit'!$AP$6,D18="",'Master Data'!$N$35=""),"",IF(AND(E18=""),"",IF('Copy of GA55 Check &amp; Edit'!D18='Copy of GA55 Check &amp; Edit'!$AT$9,'Master Data'!$N$35,""))),"")</f>
        <v/>
      </c>
      <c r="AB18" s="115" t="str">
        <f t="shared" si="8"/>
        <v>0</v>
      </c>
      <c r="AC18" s="116" t="str">
        <f t="shared" si="9"/>
        <v/>
      </c>
      <c r="AD18" s="117"/>
      <c r="AE18" s="118"/>
      <c r="AF18" s="1"/>
      <c r="AG18" s="108"/>
      <c r="AH18" s="109"/>
      <c r="AI18" s="109"/>
      <c r="AJ18" s="109"/>
      <c r="AK18" s="109"/>
      <c r="AL18" s="109"/>
      <c r="AM18" s="54"/>
      <c r="AN18" s="54"/>
      <c r="AO18" s="54"/>
      <c r="AP18" s="54"/>
      <c r="AQ18" s="54"/>
      <c r="AR18" s="54"/>
      <c r="AS18" s="54" t="s">
        <v>79</v>
      </c>
      <c r="AT18" s="89">
        <v>46023.0</v>
      </c>
      <c r="AU18" s="54" t="s">
        <v>80</v>
      </c>
      <c r="AV18" s="54"/>
      <c r="AW18" s="125" t="s">
        <v>75</v>
      </c>
      <c r="AX18" s="89">
        <v>45901.0</v>
      </c>
      <c r="AY18" s="54">
        <v>9.0</v>
      </c>
      <c r="AZ18" s="54">
        <f>IF(OR('Master Data'!N27="",'Master Data'!N31=""),MROUND(AZ15*1.03,100),IF('Master Data'!N27&lt;'Copy of GA55 Check &amp; Edit'!AX16,MROUND('Master Data'!N31*1.03,100),MROUND(AZ15*1.03,100)))</f>
        <v>39100</v>
      </c>
      <c r="BA18" s="55">
        <f>IF(AND('Master Data'!$N$25=""),"",IF(AND('Master Data'!$N$27='Copy of GA55 Check &amp; Edit'!$AP$6),'Copy of GA55 Check &amp; Edit'!$AZ$15,BU18))</f>
        <v>39100</v>
      </c>
      <c r="BB18" s="55">
        <f t="shared" si="3"/>
        <v>39100</v>
      </c>
      <c r="BC18" s="54">
        <f>IF(AND('Master Data'!$N$25=""),"",ROUND(55%*BA18,0))</f>
        <v>21505</v>
      </c>
      <c r="BD18" s="54">
        <f t="shared" si="4"/>
        <v>21505</v>
      </c>
      <c r="BE18" s="126">
        <f>IFERROR(IF(AND('Master Data'!$N$25=""),"",ROUND('Master Data'!$E$35%*BB18,0)),"")</f>
        <v>3910</v>
      </c>
      <c r="BF18" s="55" t="str">
        <f>'Master Data'!H48</f>
        <v/>
      </c>
      <c r="BG18" s="55">
        <f>IFERROR(IF(OR('Master Data'!$I$29='Copy of GA55 Check &amp; Edit'!$AP$6),"",IF('Master Data'!$I$31="GPF-2004",IF(BB18&lt;18001,265,IF(BB18&lt;33501,440,IF(BB18&lt;54001,658,875))),IF(AND('Master Data'!$I$31="GPF",'Master Data'!$J$44=""),IF(BB18&lt;18001,265,IF(BB18&lt;33501,440,IF(BB18&lt;54001,658,875))),'Master Data'!$J$44))),"")</f>
        <v>658</v>
      </c>
      <c r="BH18" s="54" t="str">
        <f>IFERROR(IF(OR('Master Data'!$I$29='Copy of GA55 Check &amp; Edit'!$AP$6),"",'Master Data'!$G$44),"")</f>
        <v/>
      </c>
      <c r="BI18" s="127">
        <f>IFERROR(IF(OR('Master Data'!$I$29='Copy of GA55 Check &amp; Edit'!$AP$6),"",IF('Master Data'!$I$31="GPF-2004",IF(BB18&lt;23101,1450,IF(BB18&lt;28501,1625,IF(BB18&lt;38501,2100,IF(BB18&lt;51501,2850,IF(BB18&lt;62001,3575,IF(BB18&lt;72001,4200,IF(BB18&lt;80001,4800,IF(BB18&lt;116001,6150,IF(BB18&lt;167001,8900,10500))))))))),'Master Data'!$H$44)),"")</f>
        <v>2850</v>
      </c>
      <c r="BJ18" s="55">
        <f t="shared" si="15"/>
        <v>39100</v>
      </c>
      <c r="BK18" s="130">
        <v>45901.0</v>
      </c>
      <c r="BL18" s="130">
        <f>IFERROR(IF('Master Data'!$N$25="","",IF('Master Data'!$F$41="","",IF(AND($AZ$17&gt;$AZ$9),"",DATE(YEAR(BL17),MONTH(BL17)+1,DAY(BL17))))),"")</f>
        <v>45901</v>
      </c>
      <c r="BM18" s="130">
        <f>IFERROR(IF('Master Data'!$N$25="","",IF('Master Data'!$F$41="","",IF(AND($AZ$17&gt;$AZ$9),"",DATE(YEAR(BM17),MONTH(BM17)+1,DAY(BM17))))),"")</f>
        <v>45901</v>
      </c>
      <c r="BN18" s="130">
        <f t="shared" si="10"/>
        <v>45901</v>
      </c>
      <c r="BO18" s="130">
        <f t="shared" si="13"/>
        <v>45901</v>
      </c>
      <c r="BP18" s="130"/>
      <c r="BQ18" s="130">
        <f t="shared" si="14"/>
        <v>45901</v>
      </c>
      <c r="BR18" s="130"/>
      <c r="BS18" s="55" t="str">
        <f t="shared" si="16"/>
        <v/>
      </c>
      <c r="BT18" s="55"/>
      <c r="BU18" s="55">
        <f>IF(AND('Master Data'!$N$25=""),"",IF(AND('Master Data'!$N$27='Copy of GA55 Check &amp; Edit'!AX18),'Master Data'!$N$31,BU17))</f>
        <v>39100</v>
      </c>
      <c r="BV18" s="130"/>
      <c r="BW18" s="54"/>
      <c r="BX18" s="55" t="str">
        <f t="shared" si="12"/>
        <v/>
      </c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109"/>
      <c r="CJ18" s="109"/>
      <c r="CK18" s="109"/>
      <c r="CL18" s="109"/>
      <c r="CM18" s="109"/>
      <c r="CN18" s="109"/>
      <c r="CO18" s="109"/>
      <c r="CP18" s="108"/>
      <c r="CQ18" s="108"/>
      <c r="CR18" s="108"/>
      <c r="CS18" s="108"/>
      <c r="CT18" s="108"/>
    </row>
    <row r="19" ht="21.0" customHeight="1">
      <c r="A19" s="1" t="str">
        <f t="shared" si="1"/>
        <v>#REF!</v>
      </c>
      <c r="B19" s="96" t="str">
        <f t="shared" si="6"/>
        <v>#REF!</v>
      </c>
      <c r="C19" s="110"/>
      <c r="D19" s="111">
        <f t="shared" si="7"/>
        <v>46054</v>
      </c>
      <c r="E19" s="112"/>
      <c r="F19" s="113" t="str">
        <f>_xlfn.IFERROR(IF(D19="","",IF(D19=$AX$24,"",IF(AND(D19=$AX$28),"",IF(AND('Master Data'!$I$28='Copy of GA55 Check &amp; Edit'!$AP$5),VLOOKUP(D19,Copy of GA55 Check &amp; Edit!ram,7,0),"")))),"")</f>
        <v>#ERROR!</v>
      </c>
      <c r="G19" s="113" t="str">
        <f>_xlfn.IFERROR(IF(D19="","",IF(D19=$AX$24,"",IF(AND(D19=$AX$25),"",IF(AND(D19=$AX$26),"",IF(AND(D19=$AX$27),"",IF(AND(D19=$AX$28),"",IF(AND(D19=$AX$29),"",IF(AND('Master Data'!$I$28='Copy of GA55 Check &amp; Edit'!$AP$6),"",VLOOKUP(D19,Copy of GA55 Check &amp; Edit!ram,8,0))))))))),"")</f>
        <v>#ERROR!</v>
      </c>
      <c r="H19" s="113" t="str">
        <f>IFERROR(IF(D19="","",IF(AND(E19=""),"",IF(OR(D19=$AX$24,D19=$AX$25,D19=$AX$26,D19=$AX$27,D19=$AX$28,D19=$AX$29),"",IF(AND('Master Data'!$I$29='Copy of GA55 Check &amp; Edit'!$AP$5),'Master Data'!$B$44,"")))),"")</f>
        <v/>
      </c>
      <c r="I19" s="113" t="str">
        <f>IFERROR(IF(D19="","",IF(AND(E19=""),"",IF(OR(D19=$AX$24,D19=$AX$25,D19=$AX$26,D19=$AX$27,D19=$AX$28,D19=$AX$29),"",IF(AND('Master Data'!$I$29='Copy of GA55 Check &amp; Edit'!$AP$5,'Master Data'!$E$29='Copy of GA55 Check &amp; Edit'!$AO$5),'Master Data'!$E$31,"0")))),"")</f>
        <v/>
      </c>
      <c r="J19" s="113" t="str">
        <f>IFERROR(IF(OR('Master Data'!$E$33=$AO$6,'Master Data'!$E$33=""),"",IF(D19="","",IF(AND(E19=""),"",IF(OR(D19=$AX$24,D19=$AX$25,D19=$AX$26,D19=$AX$27,D19=$AX$28,D19=$AX$29),"",IF(AND('Master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19" s="113" t="str">
        <f>IFERROR(IF(D19="","",IF(AND(E19=""),"",IF(OR(D19=$AX$24,D19=$AX$25,D19=$AX$26,D19=$AX$27,D19=$AX$28,D19=$AX$29),"",IF(AND('Master Data'!$I$29='Copy of GA55 Check &amp; Edit'!$AP$5),'Master Data'!$C$44,"")))),"")</f>
        <v/>
      </c>
      <c r="L19" s="113" t="str">
        <f>IFERROR(IF(D19="","",IF(AND(E19=""),"",IF(OR(D19=$AX$24,D19=$AX$25,D19=$AX$26,D19=$AX$27,D19=$AX$28,D19=$AX$29),"",IF(AND('Master Data'!$I$29='Copy of GA55 Check &amp; Edit'!$AP$6),"",'Master Data'!$D$44)))),"")</f>
        <v/>
      </c>
      <c r="M19" s="113" t="str">
        <f>IFERROR(IF(D19="","",IF(AND(E19=""),"",IF(OR(D19=$AX$24,D19=$AX$25,D19=$AX$26,D19=$AX$27,D19=$AX$28,D19=$AX$29),"",IF(AND('Master Data'!$I$29='Copy of GA55 Check &amp; Edit'!$AP$6),"",'Master Data'!$E$44)))),"")</f>
        <v/>
      </c>
      <c r="N19" s="113" t="str">
        <f>_xlfn.IFERROR(IF(D19="","",IF(AND('Master Data'!$I$28='Copy of GA55 Check &amp; Edit'!$AP$6),"",IF(AND('Master Data'!$I$24='Copy of GA55 Check &amp; Edit'!$AO$6),"0",IF(AND(D19="Bonus"),VLOOKUP(D19,Copy of GA55 Check &amp; Edit!ram,4,0),"")))),"")</f>
        <v>#ERROR!</v>
      </c>
      <c r="O19" s="114" t="str">
        <f>IF(D19="","",IF('Master Data'!$N$25="","",SUM(E19:N19)))</f>
        <v>#ERROR!</v>
      </c>
      <c r="P19" s="103" t="str">
        <f>_xlfn.IFERROR(IF(OR('Master Data'!$I$28='Copy of GA55 Check &amp; Edit'!$AP$6,D19=""),"",IF(AND(D19=$AX$24),"",IF(AND(D19=$AX$25),"",IF(AND(D19=$AX$26),"",IF(AND(D19=$AX$27),"",IF(AND(D19=$AX$28),"",IF(AND(D19=$AX$29),"",IF(AND(E19=""),"",VLOOKUP(D19,Copy of GA55 Check &amp; Edit!ram,11,0))))))))),"")</f>
        <v>#ERROR!</v>
      </c>
      <c r="Q19" s="102" t="str">
        <f>_xlfn.IFERROR(IF(AND('Master Data'!$I$28='Copy of GA55 Check &amp; Edit'!$AP$6),"",IF(AND(D19=$AX$25),"",IF(AND(D19=$AX$28),"",IF(AND(D19=$AX$29),"",IF(AND(D19=""),"",IF(AND(BB23=""),"",VLOOKUP(D19,Copy of GA55 Check &amp; Edit!ram,12,0))))))),"")</f>
        <v>#ERROR!</v>
      </c>
      <c r="R19" s="103" t="str">
        <f>IFERROR(IF(OR('Master Data'!$I$29='Copy of GA55 Check &amp; Edit'!$AP$6,D19=""),"",IF(AND(D19=$AX$24),"",IF(AND(D19=$AX$25),"",IF(AND(D19=$AX$26),"",IF(AND(D19=$AX$27),"",IF(AND(D19=$AX$28),"",IF(AND(D19=$AX$29),"",IF(AND(E19=""),"",'Master Data'!$I$44)))))))),"")</f>
        <v/>
      </c>
      <c r="S19" s="103" t="str">
        <f>_xlfn.IFERROR(IF(OR('Master Data'!$I$28='Copy of GA55 Check &amp; Edit'!$AP$6),"",IF(D19="","",IF(E19="","",IF(AND(D19=$AX$24),"",IF(AND(D19=$AX$25),"",IF(AND(D19=$AX$26),"",IF(AND(D19=$AX$27),"",IF(AND(D19=$AX$28),"",IF(AND(D19=$AX$29),"",VLOOKUP(D19,Copy of GA55 Check &amp; Edit!ram,10,0)))))))))),"")</f>
        <v>#ERROR!</v>
      </c>
      <c r="T19" s="103" t="str">
        <f>IFERROR(IF(OR('Master Data'!$I$29='Copy of GA55 Check &amp; Edit'!$AP$6,D19=""),"",IF(AND(D19=$AX$24),"",IF(AND(D19=$AX$25),"",IF(AND(D19=$AX$26),"",IF(AND(D19=$AX$27),"",IF(AND(D19=$AX$28),"",IF(AND(D19=$AX$29),"",IF(AND(E19=""),"",'Master Data'!$K$44)))))))),"")</f>
        <v/>
      </c>
      <c r="U19" s="103" t="str">
        <f>IFERROR(IF(OR('Master Data'!$I$29='Copy of GA55 Check &amp; Edit'!$AP$6,D19=""),"",IF(AND(D19=$AX$24),"",IF(AND(D19=$AX$25),"",IF(AND(D19=$AX$26),"",IF(AND(D19=$AX$27),"",IF(AND(D19=$AX$28),"",IF(AND(D19=$AX$29),"",IF(AND(E19=""),"",'Master Data'!$L$44)))))))),"")</f>
        <v/>
      </c>
      <c r="V19" s="103" t="str">
        <f>IFERROR(IF(OR('Master Data'!$I$29='Copy of GA55 Check &amp; Edit'!$AP$6,D19=""),"",IF(AND(D19=$AX$24),"",IF(AND(D19=$AX$25),"",IF(AND(D19=$AX$26),"",IF(AND(D19=$AX$27),"",IF(AND(D19=$AX$28),"",IF(AND(D19=$AX$29),"",IF(AND(E19=""),"",'Master Data'!$M$44)))))))),"")</f>
        <v/>
      </c>
      <c r="W19" s="103" t="str">
        <f>IFERROR(IF(OR('Master Data'!$I$29='Copy of GA55 Check &amp; Edit'!$AP$6,D19=""),"",IF(AND(D19=$AX$24),"",IF(AND(D19=$AX$25),"",IF(AND(D19=$AX$26),"",IF(AND(D19=$AX$27),"",IF(AND(D19=$AX$28),"",IF(AND(D19=$AX$29),"",IF(AND(E19=""),"",'Master Data'!$N$44)))))))),"")</f>
        <v/>
      </c>
      <c r="X19" s="103" t="str">
        <f>IFERROR(IF(OR('Master Data'!$I$29='Copy of GA55 Check &amp; Edit'!$AP$6,D19=""),"",IF(AND(E19=""),"",IF(AND('Copy of GA55 Check &amp; Edit'!D19='Copy of GA55 Check &amp; Edit'!$AT$17,'Master Data'!$D$18="Gazetted"),500,IF(AND('Copy of GA55 Check &amp; Edit'!D19='Copy of GA55 Check &amp; Edit'!$AT$17,'Master Data'!$D$18="Non-Gazetted"),250,"")))),"")</f>
        <v/>
      </c>
      <c r="Y19" s="103" t="str">
        <f>IFERROR(IF(D19="","",IF(AND(E19=""),"",IF(AND(D19=$AX$24),"",IF(AND(D19=$AX$25),"",IF(AND(D19=$AX$26),"",IF(AND(D19=$AX$27),"",IF(AND(D19=$AX$28),"",IF(AND(D19=$AX$29),"",IF(OR('Master Data'!$I$29='Copy of GA55 Check &amp; Edit'!$AP$6,D19=""),"",$Y$7))))))))),"")</f>
        <v/>
      </c>
      <c r="Z19" s="103" t="str">
        <f>_xlfn.IFERROR(IF(OR('Master Data'!$I$28='Copy of GA55 Check &amp; Edit'!$AP$6),"",IF(D19="","",IF(E19="","",VLOOKUP(D19,Copy of GA55 Check &amp; Edit!ram,9,0)))),"")</f>
        <v>#ERROR!</v>
      </c>
      <c r="AA19" s="103" t="str">
        <f>IFERROR(IF(OR('Master Data'!$I$29='Copy of GA55 Check &amp; Edit'!$AP$6,D19="",'Master Data'!$N$35=""),"",IF(AND(E19=""),"",IF('Copy of GA55 Check &amp; Edit'!D19='Copy of GA55 Check &amp; Edit'!$AT$9,'Master Data'!$N$35,""))),"")</f>
        <v/>
      </c>
      <c r="AB19" s="115" t="str">
        <f t="shared" si="8"/>
        <v>0</v>
      </c>
      <c r="AC19" s="116" t="str">
        <f t="shared" si="9"/>
        <v/>
      </c>
      <c r="AD19" s="117"/>
      <c r="AE19" s="118"/>
      <c r="AF19" s="1"/>
      <c r="AG19" s="108"/>
      <c r="AH19" s="109"/>
      <c r="AI19" s="109"/>
      <c r="AJ19" s="109"/>
      <c r="AK19" s="109"/>
      <c r="AL19" s="109"/>
      <c r="AM19" s="54"/>
      <c r="AN19" s="54"/>
      <c r="AO19" s="54"/>
      <c r="AP19" s="54"/>
      <c r="AQ19" s="54"/>
      <c r="AR19" s="54"/>
      <c r="AS19" s="54" t="s">
        <v>81</v>
      </c>
      <c r="AT19" s="89">
        <v>46054.0</v>
      </c>
      <c r="AU19" s="54" t="s">
        <v>82</v>
      </c>
      <c r="AV19" s="54"/>
      <c r="AW19" s="125" t="s">
        <v>77</v>
      </c>
      <c r="AX19" s="89">
        <v>45931.0</v>
      </c>
      <c r="AY19" s="54">
        <v>10.0</v>
      </c>
      <c r="AZ19" s="54" t="str">
        <f>IF(AND(AZ21&lt;$AX$12),"",IF(AND(AZ21&gt;$AX$15),"",AZ22))</f>
        <v/>
      </c>
      <c r="BA19" s="55">
        <f>IF(AND('Master Data'!$N$25=""),"",IF(AND('Master Data'!$N$27='Copy of GA55 Check &amp; Edit'!$AP$6),'Copy of GA55 Check &amp; Edit'!$AZ$15,BU19))</f>
        <v>39100</v>
      </c>
      <c r="BB19" s="55">
        <f t="shared" si="3"/>
        <v>39100</v>
      </c>
      <c r="BC19" s="54">
        <f>IF(AND('Master Data'!$N$25=""),"",ROUND(58%*BA19,0))</f>
        <v>22678</v>
      </c>
      <c r="BD19" s="54">
        <f t="shared" si="4"/>
        <v>22678</v>
      </c>
      <c r="BE19" s="126">
        <f>IFERROR(IF(AND('Master Data'!$N$25=""),"",ROUND('Master Data'!$E$35%*BB19,0)),"")</f>
        <v>3910</v>
      </c>
      <c r="BF19" s="55" t="str">
        <f>'Master Data'!I48</f>
        <v/>
      </c>
      <c r="BG19" s="55">
        <f>IFERROR(IF(OR('Master Data'!$I$29='Copy of GA55 Check &amp; Edit'!$AP$6),"",IF('Master Data'!$I$31="GPF-2004",IF(BB19&lt;18001,265,IF(BB19&lt;33501,440,IF(BB19&lt;54001,658,875))),IF(AND('Master Data'!$I$31="GPF",'Master Data'!$J$44=""),IF(BB19&lt;18001,265,IF(BB19&lt;33501,440,IF(BB19&lt;54001,658,875))),'Master Data'!$J$44))),"")</f>
        <v>658</v>
      </c>
      <c r="BH19" s="54" t="str">
        <f>IFERROR(IF(OR('Master Data'!$I$29='Copy of GA55 Check &amp; Edit'!$AP$6),"",'Master Data'!$G$44),"")</f>
        <v/>
      </c>
      <c r="BI19" s="127">
        <f>IFERROR(IF(OR('Master Data'!$I$29='Copy of GA55 Check &amp; Edit'!$AP$6),"",IF('Master Data'!$I$31="GPF-2004",IF(BB19&lt;23101,1450,IF(BB19&lt;28501,1625,IF(BB19&lt;38501,2100,IF(BB19&lt;51501,2850,IF(BB19&lt;62001,3575,IF(BB19&lt;72001,4200,IF(BB19&lt;80001,4800,IF(BB19&lt;116001,6150,IF(BB19&lt;167001,8900,10500))))))))),'Master Data'!$H$44)),"")</f>
        <v>2850</v>
      </c>
      <c r="BJ19" s="55">
        <f t="shared" si="15"/>
        <v>39100</v>
      </c>
      <c r="BK19" s="130">
        <v>45931.0</v>
      </c>
      <c r="BL19" s="130">
        <f>IFERROR(IF('Master Data'!$N$25="","",IF('Master Data'!$F$41="","",IF(AND($AZ$17&gt;$AZ$9),"",DATE(YEAR(BL18),MONTH(BL18)+1,DAY(BL18))))),"")</f>
        <v>45931</v>
      </c>
      <c r="BM19" s="130">
        <f>IFERROR(IF('Master Data'!$N$25="","",IF('Master Data'!$F$41="","",IF(AND($AZ$17&gt;$AZ$9),"",DATE(YEAR(BM18),MONTH(BM18)+1,DAY(BM18))))),"")</f>
        <v>45931</v>
      </c>
      <c r="BN19" s="130">
        <f t="shared" si="10"/>
        <v>45931</v>
      </c>
      <c r="BO19" s="130">
        <f t="shared" si="13"/>
        <v>45931</v>
      </c>
      <c r="BP19" s="130"/>
      <c r="BQ19" s="130">
        <f t="shared" si="14"/>
        <v>45931</v>
      </c>
      <c r="BR19" s="130"/>
      <c r="BS19" s="55" t="str">
        <f t="shared" si="16"/>
        <v>#ERROR!</v>
      </c>
      <c r="BT19" s="55"/>
      <c r="BU19" s="55">
        <f>IF(AND('Master Data'!$N$25=""),"",IF(AND('Master Data'!$N$27='Copy of GA55 Check &amp; Edit'!AX19),'Master Data'!$N$31,BU18))</f>
        <v>39100</v>
      </c>
      <c r="BV19" s="130"/>
      <c r="BW19" s="54"/>
      <c r="BX19" s="55" t="str">
        <f t="shared" si="12"/>
        <v/>
      </c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109"/>
      <c r="CJ19" s="109"/>
      <c r="CK19" s="109"/>
      <c r="CL19" s="109"/>
      <c r="CM19" s="109"/>
      <c r="CN19" s="109"/>
      <c r="CO19" s="109"/>
      <c r="CP19" s="108"/>
      <c r="CQ19" s="108"/>
      <c r="CR19" s="108"/>
      <c r="CS19" s="108"/>
      <c r="CT19" s="108"/>
    </row>
    <row r="20" ht="21.0" customHeight="1">
      <c r="A20" s="1" t="str">
        <f t="shared" si="1"/>
        <v>#REF!</v>
      </c>
      <c r="B20" s="96" t="str">
        <f t="shared" si="6"/>
        <v>#REF!</v>
      </c>
      <c r="C20" s="110"/>
      <c r="D20" s="111" t="str">
        <f t="shared" si="7"/>
        <v>Bonus</v>
      </c>
      <c r="E20" s="112"/>
      <c r="F20" s="113" t="str">
        <f>_xlfn.IFERROR(IF(D20="","",IF(D20=$AX$24,"",IF(AND(D20=$AX$28),"",IF(AND('Master Data'!$I$28='Copy of GA55 Check &amp; Edit'!$AP$5),VLOOKUP(D20,Copy of GA55 Check &amp; Edit!ram,7,0),"")))),"")</f>
        <v>#ERROR!</v>
      </c>
      <c r="G20" s="113" t="str">
        <f>_xlfn.IFERROR(IF(D20="","",IF(D20=$AX$24,"",IF(AND(D20=$AX$25),"",IF(AND(D20=$AX$26),"",IF(AND(D20=$AX$27),"",IF(AND(D20=$AX$28),"",IF(AND(D20=$AX$29),"",IF(AND('Master Data'!$I$28='Copy of GA55 Check &amp; Edit'!$AP$6),"",VLOOKUP(D20,Copy of GA55 Check &amp; Edit!ram,8,0))))))))),"")</f>
        <v>#ERROR!</v>
      </c>
      <c r="H20" s="113" t="str">
        <f>IFERROR(IF(D20="","",IF(AND(E20=""),"",IF(OR(D20=$AX$24,D20=$AX$25,D20=$AX$26,D20=$AX$27,D20=$AX$28,D20=$AX$29),"",IF(AND('Master Data'!$I$29='Copy of GA55 Check &amp; Edit'!$AP$5),'Master Data'!$B$44,"")))),"")</f>
        <v/>
      </c>
      <c r="I20" s="113" t="str">
        <f>IFERROR(IF(D20="","",IF(AND(E20=""),"",IF(OR(D20=$AX$24,D20=$AX$25,D20=$AX$26,D20=$AX$27,D20=$AX$28,D20=$AX$29),"",IF(AND('Master Data'!$I$29='Copy of GA55 Check &amp; Edit'!$AP$5,'Master Data'!$E$29='Copy of GA55 Check &amp; Edit'!$AO$5),'Master Data'!$E$31,"0")))),"")</f>
        <v/>
      </c>
      <c r="J20" s="113" t="str">
        <f>IFERROR(IF(OR('Master Data'!$E$33=$AO$6,'Master Data'!$E$33=""),"",IF(D20="","",IF(AND(E20=""),"",IF(OR(D20=$AX$24,D20=$AX$25,D20=$AX$26,D20=$AX$27,D20=$AX$28,D20=$AX$29),"",IF(AND('Master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0" s="113" t="str">
        <f>IFERROR(IF(D20="","",IF(AND(E20=""),"",IF(OR(D20=$AX$24,D20=$AX$25,D20=$AX$26,D20=$AX$27,D20=$AX$28,D20=$AX$29),"",IF(AND('Master Data'!$I$29='Copy of GA55 Check &amp; Edit'!$AP$5),'Master Data'!$C$44,"")))),"")</f>
        <v/>
      </c>
      <c r="L20" s="113" t="str">
        <f>IFERROR(IF(D20="","",IF(AND(E20=""),"",IF(OR(D20=$AX$24,D20=$AX$25,D20=$AX$26,D20=$AX$27,D20=$AX$28,D20=$AX$29),"",IF(AND('Master Data'!$I$29='Copy of GA55 Check &amp; Edit'!$AP$6),"",'Master Data'!$D$44)))),"")</f>
        <v/>
      </c>
      <c r="M20" s="113" t="str">
        <f>IFERROR(IF(D20="","",IF(AND(E20=""),"",IF(OR(D20=$AX$24,D20=$AX$25,D20=$AX$26,D20=$AX$27,D20=$AX$28,D20=$AX$29),"",IF(AND('Master Data'!$I$29='Copy of GA55 Check &amp; Edit'!$AP$6),"",'Master Data'!$E$44)))),"")</f>
        <v/>
      </c>
      <c r="N20" s="113" t="str">
        <f>_xlfn.IFERROR(IF(D20="","",IF(AND('Master Data'!$I$28='Copy of GA55 Check &amp; Edit'!$AP$6),"",IF(AND('Master Data'!$I$24='Copy of GA55 Check &amp; Edit'!$AO$6),"0",IF(AND(D20="Bonus"),VLOOKUP(D20,Copy of GA55 Check &amp; Edit!ram,4,0),"")))),"")</f>
        <v>#ERROR!</v>
      </c>
      <c r="O20" s="114" t="str">
        <f>IF(D20="","",IF('Master Data'!$N$25="","",SUM(E20:N20)))</f>
        <v>#ERROR!</v>
      </c>
      <c r="P20" s="103" t="str">
        <f>_xlfn.IFERROR(IF(OR('Master Data'!$I$28='Copy of GA55 Check &amp; Edit'!$AP$6,D20=""),"",IF(AND(D20=$AX$24),"",IF(AND(D20=$AX$25),"",IF(AND(D20=$AX$26),"",IF(AND(D20=$AX$27),"",IF(AND(D20=$AX$28),"",IF(AND(D20=$AX$29),"",IF(AND(E20=""),"",VLOOKUP(D20,Copy of GA55 Check &amp; Edit!ram,11,0))))))))),"")</f>
        <v>#ERROR!</v>
      </c>
      <c r="Q20" s="102" t="str">
        <f>_xlfn.IFERROR(IF(AND('Master Data'!$I$28='Copy of GA55 Check &amp; Edit'!$AP$6),"",IF(AND(D20=$AX$25),"",IF(AND(D20=$AX$28),"",IF(AND(D20=$AX$29),"",IF(AND(D20=""),"",IF(AND(BB24=""),"",VLOOKUP(D20,Copy of GA55 Check &amp; Edit!ram,12,0))))))),"")</f>
        <v>#ERROR!</v>
      </c>
      <c r="R20" s="103" t="str">
        <f>IFERROR(IF(OR('Master Data'!$I$29='Copy of GA55 Check &amp; Edit'!$AP$6,D20=""),"",IF(AND(D20=$AX$24),"",IF(AND(D20=$AX$25),"",IF(AND(D20=$AX$26),"",IF(AND(D20=$AX$27),"",IF(AND(D20=$AX$28),"",IF(AND(D20=$AX$29),"",IF(AND(E20=""),"",'Master Data'!$I$44)))))))),"")</f>
        <v/>
      </c>
      <c r="S20" s="103" t="str">
        <f>_xlfn.IFERROR(IF(OR('Master Data'!$I$28='Copy of GA55 Check &amp; Edit'!$AP$6),"",IF(D20="","",IF(E20="","",IF(AND(D20=$AX$24),"",IF(AND(D20=$AX$25),"",IF(AND(D20=$AX$26),"",IF(AND(D20=$AX$27),"",IF(AND(D20=$AX$28),"",IF(AND(D20=$AX$29),"",VLOOKUP(D20,Copy of GA55 Check &amp; Edit!ram,10,0)))))))))),"")</f>
        <v>#ERROR!</v>
      </c>
      <c r="T20" s="103" t="str">
        <f>IFERROR(IF(OR('Master Data'!$I$29='Copy of GA55 Check &amp; Edit'!$AP$6,D20=""),"",IF(AND(D20=$AX$24),"",IF(AND(D20=$AX$25),"",IF(AND(D20=$AX$26),"",IF(AND(D20=$AX$27),"",IF(AND(D20=$AX$28),"",IF(AND(D20=$AX$29),"",IF(AND(E20=""),"",'Master Data'!$K$44)))))))),"")</f>
        <v/>
      </c>
      <c r="U20" s="103" t="str">
        <f>IFERROR(IF(OR('Master Data'!$I$29='Copy of GA55 Check &amp; Edit'!$AP$6,D20=""),"",IF(AND(D20=$AX$24),"",IF(AND(D20=$AX$25),"",IF(AND(D20=$AX$26),"",IF(AND(D20=$AX$27),"",IF(AND(D20=$AX$28),"",IF(AND(D20=$AX$29),"",IF(AND(E20=""),"",'Master Data'!$L$44)))))))),"")</f>
        <v/>
      </c>
      <c r="V20" s="103" t="str">
        <f>IFERROR(IF(OR('Master Data'!$I$29='Copy of GA55 Check &amp; Edit'!$AP$6,D20=""),"",IF(AND(D20=$AX$24),"",IF(AND(D20=$AX$25),"",IF(AND(D20=$AX$26),"",IF(AND(D20=$AX$27),"",IF(AND(D20=$AX$28),"",IF(AND(D20=$AX$29),"",IF(AND(E20=""),"",'Master Data'!$M$44)))))))),"")</f>
        <v/>
      </c>
      <c r="W20" s="103" t="str">
        <f>IFERROR(IF(OR('Master Data'!$I$29='Copy of GA55 Check &amp; Edit'!$AP$6,D20=""),"",IF(AND(D20=$AX$24),"",IF(AND(D20=$AX$25),"",IF(AND(D20=$AX$26),"",IF(AND(D20=$AX$27),"",IF(AND(D20=$AX$28),"",IF(AND(D20=$AX$29),"",IF(AND(E20=""),"",'Master Data'!$N$44)))))))),"")</f>
        <v/>
      </c>
      <c r="X20" s="103" t="str">
        <f>IFERROR(IF(OR('Master Data'!$I$29='Copy of GA55 Check &amp; Edit'!$AP$6,D20=""),"",IF(AND(E20=""),"",IF(AND('Copy of GA55 Check &amp; Edit'!D20='Copy of GA55 Check &amp; Edit'!$AT$17,'Master Data'!$D$18="Gazetted"),500,IF(AND('Copy of GA55 Check &amp; Edit'!D20='Copy of GA55 Check &amp; Edit'!$AT$17,'Master Data'!$D$18="Non-Gazetted"),250,"")))),"")</f>
        <v/>
      </c>
      <c r="Y20" s="103" t="str">
        <f>IFERROR(IF(D20="","",IF(AND(E20=""),"",IF(AND(D20=$AX$24),"",IF(AND(D20=$AX$25),"",IF(AND(D20=$AX$26),"",IF(AND(D20=$AX$27),"",IF(AND(D20=$AX$28),"",IF(AND(D20=$AX$29),"",IF(OR('Master Data'!$I$29='Copy of GA55 Check &amp; Edit'!$AP$6,D20=""),"",$Y$7))))))))),"")</f>
        <v/>
      </c>
      <c r="Z20" s="103"/>
      <c r="AA20" s="103" t="str">
        <f>IFERROR(IF(OR('Master Data'!$I$29='Copy of GA55 Check &amp; Edit'!$AP$6,D20="",'Master Data'!$N$35=""),"",IF(AND(E20=""),"",IF('Copy of GA55 Check &amp; Edit'!D20='Copy of GA55 Check &amp; Edit'!$AT$9,'Master Data'!$N$35,""))),"")</f>
        <v/>
      </c>
      <c r="AB20" s="115" t="str">
        <f t="shared" si="8"/>
        <v>0</v>
      </c>
      <c r="AC20" s="116" t="str">
        <f t="shared" si="9"/>
        <v/>
      </c>
      <c r="AD20" s="117"/>
      <c r="AE20" s="118"/>
      <c r="AF20" s="1"/>
      <c r="AG20" s="108"/>
      <c r="AH20" s="109"/>
      <c r="AI20" s="109"/>
      <c r="AJ20" s="109"/>
      <c r="AK20" s="109"/>
      <c r="AL20" s="109"/>
      <c r="AM20" s="54"/>
      <c r="AN20" s="54"/>
      <c r="AO20" s="54"/>
      <c r="AP20" s="54"/>
      <c r="AQ20" s="54"/>
      <c r="AR20" s="54"/>
      <c r="AS20" s="54"/>
      <c r="AT20" s="54"/>
      <c r="AU20" s="54" t="s">
        <v>83</v>
      </c>
      <c r="AV20" s="54"/>
      <c r="AW20" s="125" t="s">
        <v>79</v>
      </c>
      <c r="AX20" s="89">
        <v>45962.0</v>
      </c>
      <c r="AY20" s="54">
        <v>11.0</v>
      </c>
      <c r="AZ20" s="54"/>
      <c r="BA20" s="55">
        <f>IF(AND('Master Data'!$N$25=""),"",IF(AND('Master Data'!$N$27='Copy of GA55 Check &amp; Edit'!$AP$6),'Copy of GA55 Check &amp; Edit'!$AZ$15,BU20))</f>
        <v>39100</v>
      </c>
      <c r="BB20" s="55">
        <f t="shared" si="3"/>
        <v>39100</v>
      </c>
      <c r="BC20" s="54">
        <f>IF(AND('Master Data'!$N$25=""),"",ROUND(58%*BA20,0))</f>
        <v>22678</v>
      </c>
      <c r="BD20" s="54">
        <f t="shared" si="4"/>
        <v>22678</v>
      </c>
      <c r="BE20" s="126">
        <f>IFERROR(IF(AND('Master Data'!$N$25=""),"",ROUND('Master Data'!$E$35%*BB20,0)),"")</f>
        <v>3910</v>
      </c>
      <c r="BF20" s="55">
        <f>'Master Data'!J48</f>
        <v>0</v>
      </c>
      <c r="BG20" s="55">
        <f>IFERROR(IF(OR('Master Data'!$I$29='Copy of GA55 Check &amp; Edit'!$AP$6),"",IF('Master Data'!$I$31="GPF-2004",IF(BB20&lt;18001,265,IF(BB20&lt;33501,440,IF(BB20&lt;54001,658,875))),IF(AND('Master Data'!$I$31="GPF",'Master Data'!$J$44=""),IF(BB20&lt;18001,265,IF(BB20&lt;33501,440,IF(BB20&lt;54001,658,875))),'Master Data'!$J$44))),"")</f>
        <v>658</v>
      </c>
      <c r="BH20" s="54" t="str">
        <f>IFERROR(IF(OR('Master Data'!$I$29='Copy of GA55 Check &amp; Edit'!$AP$6),"",'Master Data'!$G$44),"")</f>
        <v/>
      </c>
      <c r="BI20" s="127">
        <f>IFERROR(IF(OR('Master Data'!$I$29='Copy of GA55 Check &amp; Edit'!$AP$6),"",IF('Master Data'!$I$31="GPF-2004",IF(BB20&lt;23101,1450,IF(BB20&lt;28501,1625,IF(BB20&lt;38501,2100,IF(BB20&lt;51501,2850,IF(BB20&lt;62001,3575,IF(BB20&lt;72001,4200,IF(BB20&lt;80001,4800,IF(BB20&lt;116001,6150,IF(BB20&lt;167001,8900,10500))))))))),'Master Data'!$H$44)),"")</f>
        <v>2850</v>
      </c>
      <c r="BJ20" s="55">
        <f t="shared" si="15"/>
        <v>39100</v>
      </c>
      <c r="BK20" s="130">
        <v>45962.0</v>
      </c>
      <c r="BL20" s="130">
        <f>IFERROR(IF('Master Data'!$N$25="","",IF('Master Data'!$F$41="","",IF(AND($AZ$17&gt;$AZ$9),"",DATE(YEAR(BL19),MONTH(BL19)+1,DAY(BL19))))),"")</f>
        <v>45962</v>
      </c>
      <c r="BM20" s="130">
        <f>IFERROR(IF('Master Data'!$N$25="","",IF('Master Data'!$F$41="","",IF(AND($AZ$17&gt;$AZ$9),"",DATE(YEAR(BM19),MONTH(BM19)+1,DAY(BM19))))),"")</f>
        <v>45962</v>
      </c>
      <c r="BN20" s="130">
        <f t="shared" si="10"/>
        <v>45962</v>
      </c>
      <c r="BO20" s="130">
        <f t="shared" si="13"/>
        <v>45962</v>
      </c>
      <c r="BP20" s="130"/>
      <c r="BQ20" s="130">
        <f t="shared" si="14"/>
        <v>45962</v>
      </c>
      <c r="BR20" s="130"/>
      <c r="BS20" s="55" t="str">
        <f t="shared" si="16"/>
        <v>#ERROR!</v>
      </c>
      <c r="BT20" s="55"/>
      <c r="BU20" s="55">
        <f>IF(AND('Master Data'!$N$25=""),"",IF(AND('Master Data'!$N$27='Copy of GA55 Check &amp; Edit'!AX20),'Master Data'!$N$31,BU19))</f>
        <v>39100</v>
      </c>
      <c r="BV20" s="130"/>
      <c r="BW20" s="54"/>
      <c r="BX20" s="55">
        <f t="shared" si="12"/>
        <v>0</v>
      </c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109"/>
      <c r="CJ20" s="109"/>
      <c r="CK20" s="109"/>
      <c r="CL20" s="109"/>
      <c r="CM20" s="109"/>
      <c r="CN20" s="109"/>
      <c r="CO20" s="109"/>
      <c r="CP20" s="108"/>
      <c r="CQ20" s="108"/>
      <c r="CR20" s="108"/>
      <c r="CS20" s="108"/>
      <c r="CT20" s="108"/>
    </row>
    <row r="21" ht="21.0" customHeight="1">
      <c r="A21" s="1" t="str">
        <f t="shared" si="1"/>
        <v>#REF!</v>
      </c>
      <c r="B21" s="96" t="str">
        <f t="shared" si="6"/>
        <v>#REF!</v>
      </c>
      <c r="C21" s="110"/>
      <c r="D21" s="111" t="str">
        <f t="shared" si="7"/>
        <v>PL Surrender</v>
      </c>
      <c r="E21" s="112" t="str">
        <f>_xlfn.IFERROR(IF(D21="","",IF(AND(BQ25=""),"",IF(AND('Master Data'!$I$28='Copy of GA55 Check &amp; Edit'!$AP$6),VLOOKUP(D21,Copy of GA55 Check &amp; Edit!ram,13,0),VLOOKUP(D21,Copy of GA55 Check &amp; Edit!ram,4,0)))),"")</f>
        <v>#ERROR!</v>
      </c>
      <c r="F21" s="113" t="str">
        <f>_xlfn.IFERROR(IF(D21="","",IF(D21=$AX$24,"",IF(AND(D21=$AX$28),"",IF(AND('Master Data'!$I$28='Copy of GA55 Check &amp; Edit'!$AP$5),VLOOKUP(D21,Copy of GA55 Check &amp; Edit!ram,7,0),"")))),"")</f>
        <v>#ERROR!</v>
      </c>
      <c r="G21" s="113" t="str">
        <f>_xlfn.IFERROR(IF(D21="","",IF(D21=$AX$24,"",IF(AND(D21=$AX$25),"",IF(AND(D21=$AX$26),"",IF(AND(D21=$AX$27),"",IF(AND(D21=$AX$28),"",IF(AND(D21=$AX$29),"",IF(AND('Master Data'!$I$28='Copy of GA55 Check &amp; Edit'!$AP$6),"",VLOOKUP(D21,Copy of GA55 Check &amp; Edit!ram,8,0))))))))),"")</f>
        <v>#ERROR!</v>
      </c>
      <c r="H21" s="113" t="str">
        <f>IFERROR(IF(D21="","",IF(AND(E21=""),"",IF(OR(D21=$AX$24,D21=$AX$25,D21=$AX$26,D21=$AX$27,D21=$AX$28,D21=$AX$29),"",IF(AND('Master Data'!$I$29='Copy of GA55 Check &amp; Edit'!$AP$5),'Master Data'!$B$44,"")))),"")</f>
        <v/>
      </c>
      <c r="I21" s="113" t="str">
        <f>IFERROR(IF(D21="","",IF(AND(E21=""),"",IF(OR(D21=$AX$24,D21=$AX$25,D21=$AX$26,D21=$AX$27,D21=$AX$28,D21=$AX$29),"",IF(AND('Master Data'!$I$29='Copy of GA55 Check &amp; Edit'!$AP$5,'Master Data'!$E$29='Copy of GA55 Check &amp; Edit'!$AO$5),'Master Data'!$E$31,"0")))),"")</f>
        <v/>
      </c>
      <c r="J21" s="113" t="str">
        <f>IFERROR(IF(OR('Master Data'!$E$33=$AO$6,'Master Data'!$E$33=""),"",IF(D21="","",IF(AND(E21=""),"",IF(OR(D21=$AX$24,D21=$AX$25,D21=$AX$26,D21=$AX$27,D21=$AX$28,D21=$AX$29),"",IF(AND('Master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1" s="113" t="str">
        <f>IFERROR(IF(D21="","",IF(AND(E21=""),"",IF(OR(D21=$AX$24,D21=$AX$25,D21=$AX$26,D21=$AX$27,D21=$AX$28,D21=$AX$29),"",IF(AND('Master Data'!$I$29='Copy of GA55 Check &amp; Edit'!$AP$5),'Master Data'!$C$44,"")))),"")</f>
        <v/>
      </c>
      <c r="L21" s="113" t="str">
        <f>IFERROR(IF(D21="","",IF(AND(E21=""),"",IF(OR(D21=$AX$24,D21=$AX$25,D21=$AX$26,D21=$AX$27,D21=$AX$28,D21=$AX$29),"",IF(AND('Master Data'!$I$29='Copy of GA55 Check &amp; Edit'!$AP$6),"",'Master Data'!$D$44)))),"")</f>
        <v/>
      </c>
      <c r="M21" s="113" t="str">
        <f>IFERROR(IF(D21="","",IF(AND(E21=""),"",IF(OR(D21=$AX$24,D21=$AX$25,D21=$AX$26,D21=$AX$27,D21=$AX$28,D21=$AX$29),"",IF(AND('Master Data'!$I$29='Copy of GA55 Check &amp; Edit'!$AP$6),"",'Master Data'!$E$44)))),"")</f>
        <v/>
      </c>
      <c r="N21" s="113" t="str">
        <f>_xlfn.IFERROR(IF(D21="","",IF(AND('Master Data'!$I$28='Copy of GA55 Check &amp; Edit'!$AP$6),"",IF(AND('Master Data'!$I$24='Copy of GA55 Check &amp; Edit'!$AO$6),"0",IF(AND(D21="Bonus"),VLOOKUP(D21,Copy of GA55 Check &amp; Edit!ram,4,0),"")))),"")</f>
        <v>#ERROR!</v>
      </c>
      <c r="O21" s="114" t="str">
        <f>IF(D21="","",IF('Master Data'!$N$25="","",SUM(E21:N21)))</f>
        <v>#ERROR!</v>
      </c>
      <c r="P21" s="103" t="str">
        <f>_xlfn.IFERROR(IF(OR('Master Data'!$I$28='Copy of GA55 Check &amp; Edit'!$AP$6,D21=""),"",IF(AND(D21=$AX$24),"",IF(AND(D21=$AX$25),"",IF(AND(D21=$AX$26),"",IF(AND(D21=$AX$27),"",IF(AND(D21=$AX$28),"",IF(AND(D21=$AX$29),"",IF(AND(E21=""),"",VLOOKUP(D21,Copy of GA55 Check &amp; Edit!ram,11,0))))))))),"")</f>
        <v>#ERROR!</v>
      </c>
      <c r="Q21" s="102" t="str">
        <f>_xlfn.IFERROR(IF(AND('Master Data'!$I$28='Copy of GA55 Check &amp; Edit'!$AP$6),"",IF(AND(D21=$AX$25),"",IF(AND(D21=$AX$28),"",IF(AND(D21=$AX$29),"",IF(AND(D21=""),"",IF(AND(BB25=""),"",VLOOKUP(D21,Copy of GA55 Check &amp; Edit!ram,12,0))))))),"")</f>
        <v>#ERROR!</v>
      </c>
      <c r="R21" s="103" t="str">
        <f>IFERROR(IF(OR('Master Data'!$I$29='Copy of GA55 Check &amp; Edit'!$AP$6,D21=""),"",IF(AND(D21=$AX$24),"",IF(AND(D21=$AX$25),"",IF(AND(D21=$AX$26),"",IF(AND(D21=$AX$27),"",IF(AND(D21=$AX$28),"",IF(AND(D21=$AX$29),"",IF(AND(E21=""),"",'Master Data'!$I$44)))))))),"")</f>
        <v/>
      </c>
      <c r="S21" s="103" t="str">
        <f>_xlfn.IFERROR(IF(OR('Master Data'!$I$28='Copy of GA55 Check &amp; Edit'!$AP$6),"",IF(D21="","",IF(E21="","",IF(AND(D21=$AX$24),"",IF(AND(D21=$AX$25),"",IF(AND(D21=$AX$26),"",IF(AND(D21=$AX$27),"",IF(AND(D21=$AX$28),"",IF(AND(D21=$AX$29),"",VLOOKUP(D21,Copy of GA55 Check &amp; Edit!ram,10,0)))))))))),"")</f>
        <v>#ERROR!</v>
      </c>
      <c r="T21" s="103" t="str">
        <f>IFERROR(IF(OR('Master Data'!$I$29='Copy of GA55 Check &amp; Edit'!$AP$6,D21=""),"",IF(AND(D21=$AX$24),"",IF(AND(D21=$AX$25),"",IF(AND(D21=$AX$26),"",IF(AND(D21=$AX$27),"",IF(AND(D21=$AX$28),"",IF(AND(D21=$AX$29),"",IF(AND(E21=""),"",'Master Data'!$K$44)))))))),"")</f>
        <v/>
      </c>
      <c r="U21" s="103" t="str">
        <f>IFERROR(IF(OR('Master Data'!$I$29='Copy of GA55 Check &amp; Edit'!$AP$6,D21=""),"",IF(AND(D21=$AX$24),"",IF(AND(D21=$AX$25),"",IF(AND(D21=$AX$26),"",IF(AND(D21=$AX$27),"",IF(AND(D21=$AX$28),"",IF(AND(D21=$AX$29),"",IF(AND(E21=""),"",'Master Data'!$L$44)))))))),"")</f>
        <v/>
      </c>
      <c r="V21" s="103" t="str">
        <f>IFERROR(IF(OR('Master Data'!$I$29='Copy of GA55 Check &amp; Edit'!$AP$6,D21=""),"",IF(AND(D21=$AX$24),"",IF(AND(D21=$AX$25),"",IF(AND(D21=$AX$26),"",IF(AND(D21=$AX$27),"",IF(AND(D21=$AX$28),"",IF(AND(D21=$AX$29),"",IF(AND(E21=""),"",'Master Data'!$M$44)))))))),"")</f>
        <v/>
      </c>
      <c r="W21" s="103" t="str">
        <f>IFERROR(IF(OR('Master Data'!$I$29='Copy of GA55 Check &amp; Edit'!$AP$6,D21=""),"",IF(AND(D21=$AX$24),"",IF(AND(D21=$AX$25),"",IF(AND(D21=$AX$26),"",IF(AND(D21=$AX$27),"",IF(AND(D21=$AX$28),"",IF(AND(D21=$AX$29),"",IF(AND(E21=""),"",'Master Data'!$N$44)))))))),"")</f>
        <v/>
      </c>
      <c r="X21" s="103" t="str">
        <f>IFERROR(IF(OR('Master Data'!$I$29='Copy of GA55 Check &amp; Edit'!$AP$6,D21=""),"",IF(AND(E21=""),"",IF(AND('Copy of GA55 Check &amp; Edit'!D21='Copy of GA55 Check &amp; Edit'!$AT$17,'Master Data'!$D$18="Gazetted"),500,IF(AND('Copy of GA55 Check &amp; Edit'!D21='Copy of GA55 Check &amp; Edit'!$AT$17,'Master Data'!$D$18="Non-Gazetted"),250,"")))),"")</f>
        <v/>
      </c>
      <c r="Y21" s="103" t="str">
        <f>IFERROR(IF(D21="","",IF(AND(E21=""),"",IF(AND(D21=$AX$24),"",IF(AND(D21=$AX$25),"",IF(AND(D21=$AX$26),"",IF(AND(D21=$AX$27),"",IF(AND(D21=$AX$28),"",IF(AND(D21=$AX$29),"",IF(OR('Master Data'!$I$29='Copy of GA55 Check &amp; Edit'!$AP$6,D21=""),"",$Y$7))))))))),"")</f>
        <v/>
      </c>
      <c r="Z21" s="103"/>
      <c r="AA21" s="103" t="str">
        <f>IFERROR(IF(OR('Master Data'!$I$29='Copy of GA55 Check &amp; Edit'!$AP$6,D21="",'Master Data'!$N$35=""),"",IF(AND(E21=""),"",IF('Copy of GA55 Check &amp; Edit'!D21='Copy of GA55 Check &amp; Edit'!$AT$9,'Master Data'!$N$35,""))),"")</f>
        <v/>
      </c>
      <c r="AB21" s="115" t="str">
        <f t="shared" si="8"/>
        <v>0</v>
      </c>
      <c r="AC21" s="116" t="str">
        <f t="shared" si="9"/>
        <v/>
      </c>
      <c r="AD21" s="117"/>
      <c r="AE21" s="118"/>
      <c r="AF21" s="1"/>
      <c r="AG21" s="108"/>
      <c r="AH21" s="109"/>
      <c r="AI21" s="109"/>
      <c r="AJ21" s="109"/>
      <c r="AK21" s="109"/>
      <c r="AL21" s="109"/>
      <c r="AM21" s="54"/>
      <c r="AN21" s="54"/>
      <c r="AO21" s="54"/>
      <c r="AP21" s="54"/>
      <c r="AQ21" s="54"/>
      <c r="AR21" s="54"/>
      <c r="AS21" s="54"/>
      <c r="AT21" s="54"/>
      <c r="AU21" s="54" t="s">
        <v>84</v>
      </c>
      <c r="AV21" s="54"/>
      <c r="AW21" s="125" t="s">
        <v>81</v>
      </c>
      <c r="AX21" s="89">
        <v>45992.0</v>
      </c>
      <c r="AY21" s="54">
        <v>12.0</v>
      </c>
      <c r="AZ21" s="128">
        <f>IF('Master Data'!N27="","",'Master Data'!N27)</f>
        <v>46054</v>
      </c>
      <c r="BA21" s="55">
        <f>IF(AND('Master Data'!$N$25=""),"",IF(AND('Master Data'!$N$27='Copy of GA55 Check &amp; Edit'!$AP$6),'Copy of GA55 Check &amp; Edit'!$AZ$15,BU21))</f>
        <v>39100</v>
      </c>
      <c r="BB21" s="55">
        <f t="shared" si="3"/>
        <v>39100</v>
      </c>
      <c r="BC21" s="54">
        <f>IF(AND('Master Data'!$N$25=""),"",ROUND(58%*BA21,0))</f>
        <v>22678</v>
      </c>
      <c r="BD21" s="54">
        <f t="shared" si="4"/>
        <v>22678</v>
      </c>
      <c r="BE21" s="126">
        <f>IFERROR(IF(AND('Master Data'!$N$25=""),"",ROUND('Master Data'!$E$35%*BB21,0)),"")</f>
        <v>3910</v>
      </c>
      <c r="BF21" s="55">
        <f>'Master Data'!K48</f>
        <v>0</v>
      </c>
      <c r="BG21" s="55">
        <f>IFERROR(IF(OR('Master Data'!$I$29='Copy of GA55 Check &amp; Edit'!$AP$6),"",IF('Master Data'!$I$31="GPF-2004",IF(BB21&lt;18001,265,IF(BB21&lt;33501,440,IF(BB21&lt;54001,658,875))),IF(AND('Master Data'!$I$31="GPF",'Master Data'!$J$44=""),IF(BB21&lt;18001,265,IF(BB21&lt;33501,440,IF(BB21&lt;54001,658,875))),'Master Data'!$J$44))),"")</f>
        <v>658</v>
      </c>
      <c r="BH21" s="54" t="str">
        <f>IFERROR(IF(OR('Master Data'!$I$29='Copy of GA55 Check &amp; Edit'!$AP$6),"",'Master Data'!$G$44),"")</f>
        <v/>
      </c>
      <c r="BI21" s="127">
        <f>IFERROR(IF(OR('Master Data'!$I$29='Copy of GA55 Check &amp; Edit'!$AP$6),"",IF('Master Data'!$I$31="GPF-2004",IF(BB21&lt;23101,1450,IF(BB21&lt;28501,1625,IF(BB21&lt;38501,2100,IF(BB21&lt;51501,2850,IF(BB21&lt;62001,3575,IF(BB21&lt;72001,4200,IF(BB21&lt;80001,4800,IF(BB21&lt;116001,6150,IF(BB21&lt;167001,8900,10500))))))))),'Master Data'!$H$44)),"")</f>
        <v>2850</v>
      </c>
      <c r="BJ21" s="55">
        <f t="shared" si="15"/>
        <v>39100</v>
      </c>
      <c r="BK21" s="130">
        <v>45992.0</v>
      </c>
      <c r="BL21" s="130">
        <f>IFERROR(IF('Master Data'!$N$25="","",IF('Master Data'!$F$41="","",IF(AND($AZ$17&gt;$AZ$9),"",DATE(YEAR(BL20),MONTH(BL20)+1,DAY(BL20))))),"")</f>
        <v>45992</v>
      </c>
      <c r="BM21" s="130">
        <f>IFERROR(IF('Master Data'!$N$25="","",IF('Master Data'!$F$41="","",IF(AND($AZ$17&gt;$AZ$9),"",DATE(YEAR(BM20),MONTH(BM20)+1,DAY(BM20))))),"")</f>
        <v>45992</v>
      </c>
      <c r="BN21" s="130">
        <f t="shared" si="10"/>
        <v>45992</v>
      </c>
      <c r="BO21" s="130">
        <f t="shared" si="13"/>
        <v>45992</v>
      </c>
      <c r="BP21" s="130"/>
      <c r="BQ21" s="130">
        <f t="shared" si="14"/>
        <v>45992</v>
      </c>
      <c r="BR21" s="130"/>
      <c r="BS21" s="55"/>
      <c r="BT21" s="55"/>
      <c r="BU21" s="55">
        <f>IF(AND('Master Data'!$N$25=""),"",IF(AND('Master Data'!$N$27='Copy of GA55 Check &amp; Edit'!AX21),'Master Data'!$N$31,BU20))</f>
        <v>39100</v>
      </c>
      <c r="BV21" s="130"/>
      <c r="BW21" s="54"/>
      <c r="BX21" s="55">
        <f t="shared" si="12"/>
        <v>0</v>
      </c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109"/>
      <c r="CJ21" s="109"/>
      <c r="CK21" s="109"/>
      <c r="CL21" s="109"/>
      <c r="CM21" s="109"/>
      <c r="CN21" s="109"/>
      <c r="CO21" s="109"/>
      <c r="CP21" s="108"/>
      <c r="CQ21" s="108"/>
      <c r="CR21" s="108"/>
      <c r="CS21" s="108"/>
      <c r="CT21" s="108"/>
    </row>
    <row r="22" ht="21.0" customHeight="1">
      <c r="A22" s="1" t="str">
        <f t="shared" si="1"/>
        <v>#REF!</v>
      </c>
      <c r="B22" s="96" t="str">
        <f t="shared" si="6"/>
        <v>#REF!</v>
      </c>
      <c r="C22" s="110"/>
      <c r="D22" s="111" t="str">
        <f t="shared" si="7"/>
        <v>DA Arrear 53 to 55%</v>
      </c>
      <c r="E22" s="112" t="str">
        <f>_xlfn.IFERROR(IF(D22="","",IF(AND(BQ26=""),"",IF(AND('Master Data'!$I$28='Copy of GA55 Check &amp; Edit'!$AP$6),VLOOKUP(D22,Copy of GA55 Check &amp; Edit!ram,13,0),VLOOKUP(D22,Copy of GA55 Check &amp; Edit!ram,4,0)))),"")</f>
        <v>#ERROR!</v>
      </c>
      <c r="F22" s="113" t="s">
        <v>106</v>
      </c>
      <c r="G22" s="113" t="str">
        <f>_xlfn.IFERROR(IF(D22="","",IF(D22=$AX$24,"",IF(AND(D22=$AX$25),"",IF(AND(D22=$AX$26),"",IF(AND(D22=$AX$27),"",IF(AND(D22=$AX$28),"",IF(AND(D22=$AX$29),"",IF(AND('Master Data'!$I$28='Copy of GA55 Check &amp; Edit'!$AP$6),"",VLOOKUP(D22,Copy of GA55 Check &amp; Edit!ram,8,0))))))))),"")</f>
        <v>#ERROR!</v>
      </c>
      <c r="H22" s="113" t="str">
        <f>IFERROR(IF(D22="","",IF(AND(E22=""),"",IF(OR(D22=$AX$24,D22=$AX$25,D22=$AX$26,D22=$AX$27,D22=$AX$28,D22=$AX$29),"",IF(AND('Master Data'!$I$29='Copy of GA55 Check &amp; Edit'!$AP$5),'Master Data'!$B$44,"")))),"")</f>
        <v/>
      </c>
      <c r="I22" s="113" t="str">
        <f>IFERROR(IF(D22="","",IF(AND(E22=""),"",IF(OR(D22=$AX$24,D22=$AX$25,D22=$AX$26,D22=$AX$27,D22=$AX$28,D22=$AX$29),"",IF(AND('Master Data'!$I$29='Copy of GA55 Check &amp; Edit'!$AP$5,'Master Data'!$E$29='Copy of GA55 Check &amp; Edit'!$AO$5),'Master Data'!$E$31,"0")))),"")</f>
        <v/>
      </c>
      <c r="J22" s="113" t="str">
        <f>IFERROR(IF(OR('Master Data'!$E$33=$AO$6,'Master Data'!$E$33=""),"",IF(D22="","",IF(AND(E22=""),"",IF(OR(D22=$AX$24,D22=$AX$25,D22=$AX$26,D22=$AX$27,D22=$AX$28,D22=$AX$29),"",IF(AND('Master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2" s="113" t="str">
        <f>IFERROR(IF(D22="","",IF(AND(E22=""),"",IF(OR(D22=$AX$24,D22=$AX$25,D22=$AX$26,D22=$AX$27,D22=$AX$28,D22=$AX$29),"",IF(AND('Master Data'!$I$29='Copy of GA55 Check &amp; Edit'!$AP$5),'Master Data'!$C$44,"")))),"")</f>
        <v/>
      </c>
      <c r="L22" s="113" t="str">
        <f>IFERROR(IF(D22="","",IF(AND(E22=""),"",IF(OR(D22=$AX$24,D22=$AX$25,D22=$AX$26,D22=$AX$27,D22=$AX$28,D22=$AX$29),"",IF(AND('Master Data'!$I$29='Copy of GA55 Check &amp; Edit'!$AP$6),"",'Master Data'!$D$44)))),"")</f>
        <v/>
      </c>
      <c r="M22" s="113" t="str">
        <f>IFERROR(IF(D22="","",IF(AND(E22=""),"",IF(OR(D22=$AX$24,D22=$AX$25,D22=$AX$26,D22=$AX$27,D22=$AX$28,D22=$AX$29),"",IF(AND('Master Data'!$I$29='Copy of GA55 Check &amp; Edit'!$AP$6),"",'Master Data'!$E$44)))),"")</f>
        <v/>
      </c>
      <c r="N22" s="113" t="str">
        <f>_xlfn.IFERROR(IF(D22="","",IF(AND('Master Data'!$I$28='Copy of GA55 Check &amp; Edit'!$AP$6),"",IF(AND('Master Data'!$I$24='Copy of GA55 Check &amp; Edit'!$AO$6),"0",IF(AND(D22="Bonus"),VLOOKUP(D22,Copy of GA55 Check &amp; Edit!ram,4,0),"")))),"")</f>
        <v>#ERROR!</v>
      </c>
      <c r="O22" s="114" t="str">
        <f>IF(D22="","",IF('Master Data'!$N$25="","",SUM(E22:N22)))</f>
        <v>#ERROR!</v>
      </c>
      <c r="P22" s="103" t="str">
        <f>_xlfn.IFERROR(IF(OR('Master Data'!$I$28='Copy of GA55 Check &amp; Edit'!$AP$6,D22=""),"",IF(AND(D22=$AX$24),"",IF(AND(D22=$AX$25),"",IF(AND(D22=$AX$26),"",IF(AND(D22=$AX$27),"",IF(AND(D22=$AX$28),"",IF(AND(D22=$AX$29),"",IF(AND(E22=""),"",VLOOKUP(D22,Copy of GA55 Check &amp; Edit!ram,11,0))))))))),"")</f>
        <v>#ERROR!</v>
      </c>
      <c r="Q22" s="102" t="str">
        <f>_xlfn.IFERROR(IF(AND('Master Data'!$I$28='Copy of GA55 Check &amp; Edit'!$AP$6),"",IF(AND(D22=$AX$25),"",IF(AND(D22=$AX$28),"",IF(AND(D22=$AX$29),"",IF(AND(D22=""),"",IF(AND(BB26=""),"",VLOOKUP(D22,Copy of GA55 Check &amp; Edit!ram,12,0))))))),"")</f>
        <v>#ERROR!</v>
      </c>
      <c r="R22" s="103" t="str">
        <f>IFERROR(IF(OR('Master Data'!$I$29='Copy of GA55 Check &amp; Edit'!$AP$6,D22=""),"",IF(AND(D22=$AX$24),"",IF(AND(D22=$AX$25),"",IF(AND(D22=$AX$26),"",IF(AND(D22=$AX$27),"",IF(AND(D22=$AX$28),"",IF(AND(D22=$AX$29),"",IF(AND(E22=""),"",'Master Data'!$I$44)))))))),"")</f>
        <v/>
      </c>
      <c r="S22" s="103" t="str">
        <f>_xlfn.IFERROR(IF(OR('Master Data'!$I$28='Copy of GA55 Check &amp; Edit'!$AP$6),"",IF(D22="","",IF(E22="","",IF(AND(D22=$AX$24),"",IF(AND(D22=$AX$25),"",IF(AND(D22=$AX$26),"",IF(AND(D22=$AX$27),"",IF(AND(D22=$AX$28),"",IF(AND(D22=$AX$29),"",VLOOKUP(D22,Copy of GA55 Check &amp; Edit!ram,10,0)))))))))),"")</f>
        <v>#ERROR!</v>
      </c>
      <c r="T22" s="103" t="str">
        <f>IFERROR(IF(OR('Master Data'!$I$29='Copy of GA55 Check &amp; Edit'!$AP$6,D22=""),"",IF(AND(D22=$AX$24),"",IF(AND(D22=$AX$25),"",IF(AND(D22=$AX$26),"",IF(AND(D22=$AX$27),"",IF(AND(D22=$AX$28),"",IF(AND(D22=$AX$29),"",IF(AND(E22=""),"",'Master Data'!$K$44)))))))),"")</f>
        <v/>
      </c>
      <c r="U22" s="103" t="str">
        <f>IFERROR(IF(OR('Master Data'!$I$29='Copy of GA55 Check &amp; Edit'!$AP$6,D22=""),"",IF(AND(D22=$AX$24),"",IF(AND(D22=$AX$25),"",IF(AND(D22=$AX$26),"",IF(AND(D22=$AX$27),"",IF(AND(D22=$AX$28),"",IF(AND(D22=$AX$29),"",IF(AND(E22=""),"",'Master Data'!$L$44)))))))),"")</f>
        <v/>
      </c>
      <c r="V22" s="103" t="str">
        <f>IFERROR(IF(OR('Master Data'!$I$29='Copy of GA55 Check &amp; Edit'!$AP$6,D22=""),"",IF(AND(D22=$AX$24),"",IF(AND(D22=$AX$25),"",IF(AND(D22=$AX$26),"",IF(AND(D22=$AX$27),"",IF(AND(D22=$AX$28),"",IF(AND(D22=$AX$29),"",IF(AND(E22=""),"",'Master Data'!$M$44)))))))),"")</f>
        <v/>
      </c>
      <c r="W22" s="103" t="str">
        <f>IFERROR(IF(OR('Master Data'!$I$29='Copy of GA55 Check &amp; Edit'!$AP$6,D22=""),"",IF(AND(D22=$AX$24),"",IF(AND(D22=$AX$25),"",IF(AND(D22=$AX$26),"",IF(AND(D22=$AX$27),"",IF(AND(D22=$AX$28),"",IF(AND(D22=$AX$29),"",IF(AND(E22=""),"",'Master Data'!$N$44)))))))),"")</f>
        <v/>
      </c>
      <c r="X22" s="103" t="str">
        <f>IFERROR(IF(OR('Master Data'!$I$29='Copy of GA55 Check &amp; Edit'!$AP$6,D22=""),"",IF(AND(E22=""),"",IF(AND('Copy of GA55 Check &amp; Edit'!D22='Copy of GA55 Check &amp; Edit'!$AT$17,'Master Data'!$D$18="Gazetted"),500,IF(AND('Copy of GA55 Check &amp; Edit'!D22='Copy of GA55 Check &amp; Edit'!$AT$17,'Master Data'!$D$18="Non-Gazetted"),250,"")))),"")</f>
        <v/>
      </c>
      <c r="Y22" s="103" t="str">
        <f>IFERROR(IF(D22="","",IF(AND(E22=""),"",IF(AND(D22=$AX$24),"",IF(AND(D22=$AX$25),"",IF(AND(D22=$AX$26),"",IF(AND(D22=$AX$27),"",IF(AND(D22=$AX$28),"",IF(AND(D22=$AX$29),"",IF(OR('Master Data'!$I$29='Copy of GA55 Check &amp; Edit'!$AP$6,D22=""),"",$Y$7))))))))),"")</f>
        <v/>
      </c>
      <c r="Z22" s="103"/>
      <c r="AA22" s="103" t="str">
        <f>IFERROR(IF(OR('Master Data'!$I$29='Copy of GA55 Check &amp; Edit'!$AP$6,D22="",'Master Data'!$N$35=""),"",IF(AND(E22=""),"",IF('Copy of GA55 Check &amp; Edit'!D22='Copy of GA55 Check &amp; Edit'!$AT$9,'Master Data'!$N$35,""))),"")</f>
        <v/>
      </c>
      <c r="AB22" s="115" t="str">
        <f t="shared" si="8"/>
        <v>0</v>
      </c>
      <c r="AC22" s="116" t="str">
        <f t="shared" si="9"/>
        <v/>
      </c>
      <c r="AD22" s="117"/>
      <c r="AE22" s="118"/>
      <c r="AF22" s="1"/>
      <c r="AG22" s="108"/>
      <c r="AH22" s="109"/>
      <c r="AI22" s="109"/>
      <c r="AJ22" s="109"/>
      <c r="AK22" s="109"/>
      <c r="AL22" s="109"/>
      <c r="AM22" s="54"/>
      <c r="AN22" s="54"/>
      <c r="AO22" s="54"/>
      <c r="AP22" s="54"/>
      <c r="AQ22" s="54"/>
      <c r="AR22" s="54"/>
      <c r="AS22" s="54"/>
      <c r="AT22" s="54"/>
      <c r="AU22" s="54" t="s">
        <v>85</v>
      </c>
      <c r="AV22" s="54"/>
      <c r="AW22" s="125" t="s">
        <v>55</v>
      </c>
      <c r="AX22" s="89">
        <v>46023.0</v>
      </c>
      <c r="AY22" s="54">
        <v>1.0</v>
      </c>
      <c r="AZ22" s="55">
        <f>IF('Master Data'!N31="","",'Master Data'!N31)</f>
        <v>39100</v>
      </c>
      <c r="BA22" s="55">
        <f>IF(AND('Master Data'!$N$25=""),"",IF(AND('Master Data'!$N$27='Copy of GA55 Check &amp; Edit'!$AP$6),'Copy of GA55 Check &amp; Edit'!$AZ$15,BU22))</f>
        <v>39100</v>
      </c>
      <c r="BB22" s="55">
        <f t="shared" si="3"/>
        <v>39100</v>
      </c>
      <c r="BC22" s="54">
        <f>IF(AND('Master Data'!$N$25=""),"",ROUND(58%*BA22,0))</f>
        <v>22678</v>
      </c>
      <c r="BD22" s="54">
        <f t="shared" si="4"/>
        <v>22678</v>
      </c>
      <c r="BE22" s="126">
        <f>IFERROR(IF(AND('Master Data'!$N$25=""),"",ROUND('Master Data'!$E$35%*BB22,0)),"")</f>
        <v>3910</v>
      </c>
      <c r="BF22" s="55">
        <f>'Master Data'!L48</f>
        <v>0</v>
      </c>
      <c r="BG22" s="55">
        <f>IFERROR(IF(OR('Master Data'!$I$29='Copy of GA55 Check &amp; Edit'!$AP$6),"",IF('Master Data'!$I$31="GPF-2004",IF(BB22&lt;18001,265,IF(BB22&lt;33501,440,IF(BB22&lt;54001,658,875))),IF(AND('Master Data'!$I$31="GPF",'Master Data'!$J$44=""),IF(BB22&lt;18001,265,IF(BB22&lt;33501,440,IF(BB22&lt;54001,658,875))),'Master Data'!$J$44))),"")</f>
        <v>658</v>
      </c>
      <c r="BH22" s="54" t="str">
        <f>IFERROR(IF(OR('Master Data'!$I$29='Copy of GA55 Check &amp; Edit'!$AP$6),"",'Master Data'!$G$44),"")</f>
        <v/>
      </c>
      <c r="BI22" s="127">
        <f>IFERROR(IF(OR('Master Data'!$I$29='Copy of GA55 Check &amp; Edit'!$AP$6),"",IF('Master Data'!$I$31="GPF-2004",IF(BB22&lt;23101,1450,IF(BB22&lt;28501,1625,IF(BB22&lt;38501,2100,IF(BB22&lt;51501,2850,IF(BB22&lt;62001,3575,IF(BB22&lt;72001,4200,IF(BB22&lt;80001,4800,IF(BB22&lt;116001,6150,IF(BB22&lt;167001,8900,10500))))))))),'Master Data'!$H$44)),"")</f>
        <v>2850</v>
      </c>
      <c r="BJ22" s="55">
        <f t="shared" si="15"/>
        <v>39100</v>
      </c>
      <c r="BK22" s="130">
        <v>46023.0</v>
      </c>
      <c r="BL22" s="130">
        <f>IFERROR(IF('Master Data'!$N$25="","",IF('Master Data'!$F$41="","",IF(AND($AZ$17&gt;$AZ$9),"",DATE(YEAR(BL21),MONTH(BL21)+1,DAY(BL21))))),"")</f>
        <v>46023</v>
      </c>
      <c r="BM22" s="130">
        <f>IFERROR(IF('Master Data'!$N$25="","",IF('Master Data'!$F$41="","",IF(AND($AZ$17&gt;$AZ$9),"",DATE(YEAR(BM21),MONTH(BM21)+1,DAY(BM21))))),"")</f>
        <v>46023</v>
      </c>
      <c r="BN22" s="130">
        <f t="shared" si="10"/>
        <v>46023</v>
      </c>
      <c r="BO22" s="130">
        <f t="shared" si="13"/>
        <v>46023</v>
      </c>
      <c r="BP22" s="130"/>
      <c r="BQ22" s="130">
        <f t="shared" si="14"/>
        <v>46023</v>
      </c>
      <c r="BR22" s="130"/>
      <c r="BS22" s="55"/>
      <c r="BT22" s="55"/>
      <c r="BU22" s="55">
        <f>IF(AND('Master Data'!$N$25=""),"",IF(AND('Master Data'!$N$27='Copy of GA55 Check &amp; Edit'!AX22),'Master Data'!$N$31,BU21))</f>
        <v>39100</v>
      </c>
      <c r="BV22" s="130"/>
      <c r="BW22" s="54"/>
      <c r="BX22" s="55">
        <f t="shared" si="12"/>
        <v>0</v>
      </c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109"/>
      <c r="CJ22" s="109"/>
      <c r="CK22" s="109"/>
      <c r="CL22" s="109"/>
      <c r="CM22" s="109"/>
      <c r="CN22" s="109"/>
      <c r="CO22" s="109"/>
      <c r="CP22" s="108"/>
      <c r="CQ22" s="108"/>
      <c r="CR22" s="108"/>
      <c r="CS22" s="108"/>
      <c r="CT22" s="108"/>
    </row>
    <row r="23" ht="21.0" customHeight="1">
      <c r="A23" s="1" t="str">
        <f t="shared" si="1"/>
        <v>#REF!</v>
      </c>
      <c r="B23" s="96" t="str">
        <f t="shared" si="6"/>
        <v>#REF!</v>
      </c>
      <c r="C23" s="110"/>
      <c r="D23" s="111" t="str">
        <f t="shared" si="7"/>
        <v>DA Arrear 55% to 58%</v>
      </c>
      <c r="E23" s="112" t="str">
        <f>_xlfn.IFERROR(IF(D23="","",IF(AND(BQ27=""),"",IF(AND('Master Data'!$I$28='Copy of GA55 Check &amp; Edit'!$AP$6),VLOOKUP(D23,Copy of GA55 Check &amp; Edit!ram,13,0),VLOOKUP(D23,Copy of GA55 Check &amp; Edit!ram,4,0)))),"")</f>
        <v>#ERROR!</v>
      </c>
      <c r="F23" s="113" t="str">
        <f>_xlfn.IFERROR(IF(D23="","",IF(D23=$AX$24,"",IF(AND(D23=$AX$28),"",IF(AND('Master Data'!$I$28='Copy of GA55 Check &amp; Edit'!$AP$5),VLOOKUP(D23,Copy of GA55 Check &amp; Edit!ram,7,0),"")))),"")</f>
        <v>#ERROR!</v>
      </c>
      <c r="G23" s="113" t="str">
        <f>_xlfn.IFERROR(IF(D23="","",IF(D23=$AX$24,"",IF(AND(D23=$AX$25),"",IF(AND(D23=$AX$26),"",IF(AND(D23=$AX$27),"",IF(AND(D23=$AX$28),"",IF(AND(D23=$AX$29),"",IF(AND('Master Data'!$I$28='Copy of GA55 Check &amp; Edit'!$AP$6),"",VLOOKUP(D23,Copy of GA55 Check &amp; Edit!ram,8,0))))))))),"")</f>
        <v>#ERROR!</v>
      </c>
      <c r="H23" s="113" t="str">
        <f>IFERROR(IF(D23="","",IF(AND(E23=""),"",IF(OR(D23=$AX$24,D23=$AX$25,D23=$AX$26,D23=$AX$27,D23=$AX$28,D23=$AX$29),"",IF(AND('Master Data'!$I$29='Copy of GA55 Check &amp; Edit'!$AP$5),'Master Data'!$B$44,"")))),"")</f>
        <v/>
      </c>
      <c r="I23" s="113" t="str">
        <f>IFERROR(IF(D23="","",IF(AND(E23=""),"",IF(OR(D23=$AX$24,D23=$AX$25,D23=$AX$26,D23=$AX$27,D23=$AX$28,D23=$AX$29),"",IF(AND('Master Data'!$I$29='Copy of GA55 Check &amp; Edit'!$AP$5,'Master Data'!$E$29='Copy of GA55 Check &amp; Edit'!$AO$5),'Master Data'!$E$31,"0")))),"")</f>
        <v/>
      </c>
      <c r="J23" s="113" t="str">
        <f>IFERROR(IF(OR('Master Data'!$E$33=$AO$6,'Master Data'!$E$33=""),"",IF(D23="","",IF(AND(E23=""),"",IF(OR(D23=$AX$24,D23=$AX$25,D23=$AX$26,D23=$AX$27,D23=$AX$28,D23=$AX$29),"",IF(AND('Master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3" s="113" t="str">
        <f>IFERROR(IF(D23="","",IF(AND(E23=""),"",IF(OR(D23=$AX$24,D23=$AX$25,D23=$AX$26,D23=$AX$27,D23=$AX$28,D23=$AX$29),"",IF(AND('Master Data'!$I$29='Copy of GA55 Check &amp; Edit'!$AP$5),'Master Data'!$C$44,"")))),"")</f>
        <v/>
      </c>
      <c r="L23" s="113" t="str">
        <f>IFERROR(IF(D23="","",IF(AND(E23=""),"",IF(OR(D23=$AX$24,D23=$AX$25,D23=$AX$26,D23=$AX$27,D23=$AX$28,D23=$AX$29),"",IF(AND('Master Data'!$I$29='Copy of GA55 Check &amp; Edit'!$AP$6),"",'Master Data'!$D$44)))),"")</f>
        <v/>
      </c>
      <c r="M23" s="113" t="str">
        <f>IFERROR(IF(D23="","",IF(AND(E23=""),"",IF(OR(D23=$AX$24,D23=$AX$25,D23=$AX$26,D23=$AX$27,D23=$AX$28,D23=$AX$29),"",IF(AND('Master Data'!$I$29='Copy of GA55 Check &amp; Edit'!$AP$6),"",'Master Data'!$E$44)))),"")</f>
        <v/>
      </c>
      <c r="N23" s="113" t="str">
        <f>_xlfn.IFERROR(IF(D23="","",IF(AND('Master Data'!$I$28='Copy of GA55 Check &amp; Edit'!$AP$6),"",IF(AND('Master Data'!$I$24='Copy of GA55 Check &amp; Edit'!$AO$6),"0",IF(AND(D23="Bonus"),VLOOKUP(D23,Copy of GA55 Check &amp; Edit!ram,4,0),"")))),"")</f>
        <v>#ERROR!</v>
      </c>
      <c r="O23" s="114" t="str">
        <f>IF(D23="","",IF('Master Data'!$N$25="","",SUM(E23:N23)))</f>
        <v>#ERROR!</v>
      </c>
      <c r="P23" s="103" t="str">
        <f>_xlfn.IFERROR(IF(OR('Master Data'!$I$28='Copy of GA55 Check &amp; Edit'!$AP$6,D23=""),"",IF(AND(D23=$AX$24),"",IF(AND(D23=$AX$25),"",IF(AND(D23=$AX$26),"",IF(AND(D23=$AX$27),"",IF(AND(D23=$AX$28),"",IF(AND(D23=$AX$29),"",IF(AND(E23=""),"",VLOOKUP(D23,Copy of GA55 Check &amp; Edit!ram,11,0))))))))),"")</f>
        <v>#ERROR!</v>
      </c>
      <c r="Q23" s="102" t="str">
        <f>_xlfn.IFERROR(IF(AND('Master Data'!$I$28='Copy of GA55 Check &amp; Edit'!$AP$6),"",IF(AND(D23=$AX$25),"",IF(AND(D23=$AX$28),"",IF(AND(D23=$AX$29),"",IF(AND(D23=""),"",IF(AND(BB27=""),"",VLOOKUP(D23,Copy of GA55 Check &amp; Edit!ram,12,0))))))),"")</f>
        <v>#ERROR!</v>
      </c>
      <c r="R23" s="103" t="str">
        <f>IFERROR(IF(OR('Master Data'!$I$29='Copy of GA55 Check &amp; Edit'!$AP$6,D23=""),"",IF(AND(D23=$AX$24),"",IF(AND(D23=$AX$25),"",IF(AND(D23=$AX$26),"",IF(AND(D23=$AX$27),"",IF(AND(D23=$AX$28),"",IF(AND(D23=$AX$29),"",IF(AND(E23=""),"",'Master Data'!$I$44)))))))),"")</f>
        <v/>
      </c>
      <c r="S23" s="103" t="str">
        <f>_xlfn.IFERROR(IF(OR('Master Data'!$I$28='Copy of GA55 Check &amp; Edit'!$AP$6),"",IF(D23="","",IF(E23="","",IF(AND(D23=$AX$24),"",IF(AND(D23=$AX$25),"",IF(AND(D23=$AX$26),"",IF(AND(D23=$AX$27),"",IF(AND(D23=$AX$28),"",IF(AND(D23=$AX$29),"",VLOOKUP(D23,Copy of GA55 Check &amp; Edit!ram,10,0)))))))))),"")</f>
        <v>#ERROR!</v>
      </c>
      <c r="T23" s="103" t="str">
        <f>IFERROR(IF(OR('Master Data'!$I$29='Copy of GA55 Check &amp; Edit'!$AP$6,D23=""),"",IF(AND(D23=$AX$24),"",IF(AND(D23=$AX$25),"",IF(AND(D23=$AX$26),"",IF(AND(D23=$AX$27),"",IF(AND(D23=$AX$28),"",IF(AND(D23=$AX$29),"",IF(AND(E23=""),"",'Master Data'!$K$44)))))))),"")</f>
        <v/>
      </c>
      <c r="U23" s="103" t="str">
        <f>IFERROR(IF(OR('Master Data'!$I$29='Copy of GA55 Check &amp; Edit'!$AP$6,D23=""),"",IF(AND(D23=$AX$24),"",IF(AND(D23=$AX$25),"",IF(AND(D23=$AX$26),"",IF(AND(D23=$AX$27),"",IF(AND(D23=$AX$28),"",IF(AND(D23=$AX$29),"",IF(AND(E23=""),"",'Master Data'!$L$44)))))))),"")</f>
        <v/>
      </c>
      <c r="V23" s="103" t="str">
        <f>IFERROR(IF(OR('Master Data'!$I$29='Copy of GA55 Check &amp; Edit'!$AP$6,D23=""),"",IF(AND(D23=$AX$24),"",IF(AND(D23=$AX$25),"",IF(AND(D23=$AX$26),"",IF(AND(D23=$AX$27),"",IF(AND(D23=$AX$28),"",IF(AND(D23=$AX$29),"",IF(AND(E23=""),"",'Master Data'!$M$44)))))))),"")</f>
        <v/>
      </c>
      <c r="W23" s="103" t="str">
        <f>IFERROR(IF(OR('Master Data'!$I$29='Copy of GA55 Check &amp; Edit'!$AP$6,D23=""),"",IF(AND(D23=$AX$24),"",IF(AND(D23=$AX$25),"",IF(AND(D23=$AX$26),"",IF(AND(D23=$AX$27),"",IF(AND(D23=$AX$28),"",IF(AND(D23=$AX$29),"",IF(AND(E23=""),"",'Master Data'!$N$44)))))))),"")</f>
        <v/>
      </c>
      <c r="X23" s="103" t="str">
        <f>IFERROR(IF(OR('Master Data'!$I$29='Copy of GA55 Check &amp; Edit'!$AP$6,D23=""),"",IF(AND(E23=""),"",IF(AND('Copy of GA55 Check &amp; Edit'!D23='Copy of GA55 Check &amp; Edit'!$AT$17,'Master Data'!$D$18="Gazetted"),500,IF(AND('Copy of GA55 Check &amp; Edit'!D23='Copy of GA55 Check &amp; Edit'!$AT$17,'Master Data'!$D$18="Non-Gazetted"),250,"")))),"")</f>
        <v/>
      </c>
      <c r="Y23" s="103" t="str">
        <f>IFERROR(IF(D23="","",IF(AND(E23=""),"",IF(AND(D23=$AX$24),"",IF(AND(D23=$AX$25),"",IF(AND(D23=$AX$26),"",IF(AND(D23=$AX$27),"",IF(AND(D23=$AX$28),"",IF(AND(D23=$AX$29),"",IF(OR('Master Data'!$I$29='Copy of GA55 Check &amp; Edit'!$AP$6,D23=""),"",$Y$7))))))))),"")</f>
        <v/>
      </c>
      <c r="Z23" s="103"/>
      <c r="AA23" s="103" t="str">
        <f>IFERROR(IF(OR('Master Data'!$I$29='Copy of GA55 Check &amp; Edit'!$AP$6,D23="",'Master Data'!$N$35=""),"",IF(AND(E23=""),"",IF('Copy of GA55 Check &amp; Edit'!D23='Copy of GA55 Check &amp; Edit'!$AT$9,'Master Data'!$N$35,""))),"")</f>
        <v/>
      </c>
      <c r="AB23" s="115" t="str">
        <f t="shared" si="8"/>
        <v>0</v>
      </c>
      <c r="AC23" s="116" t="str">
        <f t="shared" si="9"/>
        <v/>
      </c>
      <c r="AD23" s="117"/>
      <c r="AE23" s="118"/>
      <c r="AF23" s="1"/>
      <c r="AG23" s="108"/>
      <c r="AH23" s="109"/>
      <c r="AI23" s="109"/>
      <c r="AJ23" s="109"/>
      <c r="AK23" s="109"/>
      <c r="AL23" s="109"/>
      <c r="AM23" s="54"/>
      <c r="AN23" s="54"/>
      <c r="AO23" s="54"/>
      <c r="AP23" s="54"/>
      <c r="AQ23" s="54"/>
      <c r="AR23" s="54">
        <f>IF('Master Data'!I39&lt;'Copy of GA55 Check &amp; Edit'!AX16,MROUND('Master Data'!N25*1.03,100),MROUND(AZ15*1.03,100))</f>
        <v>39100</v>
      </c>
      <c r="AS23" s="54"/>
      <c r="AT23" s="54"/>
      <c r="AU23" s="54" t="s">
        <v>86</v>
      </c>
      <c r="AV23" s="54"/>
      <c r="AW23" s="125" t="s">
        <v>58</v>
      </c>
      <c r="AX23" s="89">
        <v>46054.0</v>
      </c>
      <c r="AY23" s="54">
        <v>2.0</v>
      </c>
      <c r="AZ23" s="54"/>
      <c r="BA23" s="55">
        <f>IF(AND('Master Data'!$N$25=""),"",IF(AND('Master Data'!$N$27='Copy of GA55 Check &amp; Edit'!$AP$6),'Copy of GA55 Check &amp; Edit'!$AZ$15,BU23))</f>
        <v>39100</v>
      </c>
      <c r="BB23" s="55">
        <f t="shared" si="3"/>
        <v>39100</v>
      </c>
      <c r="BC23" s="54">
        <f>IF(AND('Master Data'!$N$25=""),"",ROUND(58%*BA23,0))</f>
        <v>22678</v>
      </c>
      <c r="BD23" s="54">
        <f t="shared" si="4"/>
        <v>22678</v>
      </c>
      <c r="BE23" s="126">
        <f>IFERROR(IF(AND('Master Data'!$N$25=""),"",ROUND('Master Data'!$E$35%*BB23,0)),"")</f>
        <v>3910</v>
      </c>
      <c r="BF23" s="55">
        <f>'Master Data'!M48</f>
        <v>0</v>
      </c>
      <c r="BG23" s="55">
        <f>IFERROR(IF(OR('Master Data'!$I$29='Copy of GA55 Check &amp; Edit'!$AP$6),"",IF('Master Data'!$I$31="GPF-2004",IF(BB23&lt;18001,265,IF(BB23&lt;33501,440,IF(BB23&lt;54001,658,875))),IF(AND('Master Data'!$I$31="GPF",'Master Data'!$J$44=""),IF(BB23&lt;18001,265,IF(BB23&lt;33501,440,IF(BB23&lt;54001,658,875))),'Master Data'!$J$44))),"")</f>
        <v>658</v>
      </c>
      <c r="BH23" s="54" t="str">
        <f>IFERROR(IF(OR('Master Data'!$I$29='Copy of GA55 Check &amp; Edit'!$AP$6),"",'Master Data'!$G$44),"")</f>
        <v/>
      </c>
      <c r="BI23" s="127">
        <f>IFERROR(IF(OR('Master Data'!$I$29='Copy of GA55 Check &amp; Edit'!$AP$6),"",IF('Master Data'!$I$31="GPF-2004",IF(BB23&lt;23101,1450,IF(BB23&lt;28501,1625,IF(BB23&lt;38501,2100,IF(BB23&lt;51501,2850,IF(BB23&lt;62001,3575,IF(BB23&lt;72001,4200,IF(BB23&lt;80001,4800,IF(BB23&lt;116001,6150,IF(BB23&lt;167001,8900,10500))))))))),'Master Data'!$H$44)),"")</f>
        <v>2850</v>
      </c>
      <c r="BJ23" s="55">
        <f t="shared" si="15"/>
        <v>39100</v>
      </c>
      <c r="BK23" s="130">
        <v>46054.0</v>
      </c>
      <c r="BL23" s="130">
        <f>IFERROR(IF('Master Data'!$N$25="","",IF('Master Data'!$F$41="","",IF(AND($AZ$17&gt;$AZ$9),"",DATE(YEAR(BL22),MONTH(BL22)+1,DAY(BL22))))),"")</f>
        <v>46054</v>
      </c>
      <c r="BM23" s="130">
        <f>IFERROR(IF('Master Data'!$N$25="","",IF('Master Data'!$F$41="","",IF(AND($AZ$17&gt;$AZ$9),"",DATE(YEAR(BM22),MONTH(BM22)+1,DAY(BM22))))),"")</f>
        <v>46054</v>
      </c>
      <c r="BN23" s="130">
        <f t="shared" si="10"/>
        <v>46054</v>
      </c>
      <c r="BO23" s="130">
        <f t="shared" si="13"/>
        <v>46054</v>
      </c>
      <c r="BP23" s="130"/>
      <c r="BQ23" s="130">
        <f t="shared" si="14"/>
        <v>46054</v>
      </c>
      <c r="BR23" s="130"/>
      <c r="BS23" s="55"/>
      <c r="BT23" s="55"/>
      <c r="BU23" s="55">
        <f>IF(AND('Master Data'!$N$25=""),"",IF(AND('Master Data'!$N$27='Copy of GA55 Check &amp; Edit'!AX23),'Master Data'!$N$31,BU22))</f>
        <v>39100</v>
      </c>
      <c r="BV23" s="130"/>
      <c r="BW23" s="54"/>
      <c r="BX23" s="55">
        <f t="shared" si="12"/>
        <v>0</v>
      </c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109"/>
      <c r="CJ23" s="109"/>
      <c r="CK23" s="109"/>
      <c r="CL23" s="109"/>
      <c r="CM23" s="109"/>
      <c r="CN23" s="109"/>
      <c r="CO23" s="109"/>
      <c r="CP23" s="108"/>
      <c r="CQ23" s="108"/>
      <c r="CR23" s="108"/>
      <c r="CS23" s="108"/>
      <c r="CT23" s="108"/>
    </row>
    <row r="24" ht="21.0" customHeight="1">
      <c r="A24" s="1" t="str">
        <f t="shared" si="1"/>
        <v>#REF!</v>
      </c>
      <c r="B24" s="96" t="str">
        <f t="shared" si="6"/>
        <v>#REF!</v>
      </c>
      <c r="C24" s="110"/>
      <c r="D24" s="111" t="str">
        <f t="shared" si="7"/>
        <v>ACP/MACP Arrear</v>
      </c>
      <c r="E24" s="112" t="str">
        <f>_xlfn.IFERROR(IF(D24="","",IF(AND(BQ28=""),"",IF(AND('Master Data'!$I$28='Copy of GA55 Check &amp; Edit'!$AP$6),VLOOKUP(D24,Copy of GA55 Check &amp; Edit!ram,13,0),VLOOKUP(D24,Copy of GA55 Check &amp; Edit!ram,4,0)))),"")</f>
        <v>#ERROR!</v>
      </c>
      <c r="F24" s="113" t="str">
        <f>_xlfn.IFERROR(IF(D24="","",IF(D24=$AX$24,"",IF(AND(D24=$AX$28),"",IF(AND('Master Data'!$I$28='Copy of GA55 Check &amp; Edit'!$AP$5),VLOOKUP(D24,Copy of GA55 Check &amp; Edit!ram,7,0),"")))),"")</f>
        <v>#ERROR!</v>
      </c>
      <c r="G24" s="113" t="str">
        <f>_xlfn.IFERROR(IF(D24="","",IF(D24=$AX$24,"",IF(AND(D24=$AX$25),"",IF(AND(D24=$AX$26),"",IF(AND(D24=$AX$27),"",IF(AND(D24=$AX$28),"",IF(AND(D24=$AX$29),"",IF(AND('Master Data'!$I$28='Copy of GA55 Check &amp; Edit'!$AP$6),"",VLOOKUP(D24,Copy of GA55 Check &amp; Edit!ram,8,0))))))))),"")</f>
        <v>#ERROR!</v>
      </c>
      <c r="H24" s="113" t="str">
        <f>IFERROR(IF(D24="","",IF(AND(E24=""),"",IF(OR(D24=$AX$24,D24=$AX$25,D24=$AX$26,D24=$AX$27,D24=$AX$28,D24=$AX$29),"",IF(AND('Master Data'!$I$29='Copy of GA55 Check &amp; Edit'!$AP$5),'Master Data'!$B$44,"")))),"")</f>
        <v/>
      </c>
      <c r="I24" s="113" t="str">
        <f>IFERROR(IF(D24="","",IF(AND(E24=""),"",IF(OR(D24=$AX$24,D24=$AX$25,D24=$AX$26,D24=$AX$27,D24=$AX$28,D24=$AX$29),"",IF(AND('Master Data'!$I$29='Copy of GA55 Check &amp; Edit'!$AP$5,'Master Data'!$E$29='Copy of GA55 Check &amp; Edit'!$AO$5),'Master Data'!$E$31,"0")))),"")</f>
        <v/>
      </c>
      <c r="J24" s="113" t="str">
        <f>IFERROR(IF(OR('Master Data'!$E$33=$AO$6,'Master Data'!$E$33=""),"",IF(D24="","",IF(AND(E24=""),"",IF(OR(D24=$AX$24,D24=$AX$25,D24=$AX$26,D24=$AX$27,D24=$AX$28,D24=$AX$29),"",IF(AND('Master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4" s="113" t="str">
        <f>IFERROR(IF(D24="","",IF(AND(E24=""),"",IF(OR(D24=$AX$24,D24=$AX$25,D24=$AX$26,D24=$AX$27,D24=$AX$28,D24=$AX$29),"",IF(AND('Master Data'!$I$29='Copy of GA55 Check &amp; Edit'!$AP$5),'Master Data'!$C$44,"")))),"")</f>
        <v/>
      </c>
      <c r="L24" s="113" t="str">
        <f>IFERROR(IF(D24="","",IF(AND(E24=""),"",IF(OR(D24=$AX$24,D24=$AX$25,D24=$AX$26,D24=$AX$27,D24=$AX$28,D24=$AX$29),"",IF(AND('Master Data'!$I$29='Copy of GA55 Check &amp; Edit'!$AP$6),"",'Master Data'!$D$44)))),"")</f>
        <v/>
      </c>
      <c r="M24" s="113" t="str">
        <f>IFERROR(IF(D24="","",IF(AND(E24=""),"",IF(OR(D24=$AX$24,D24=$AX$25,D24=$AX$26,D24=$AX$27,D24=$AX$28,D24=$AX$29),"",IF(AND('Master Data'!$I$29='Copy of GA55 Check &amp; Edit'!$AP$6),"",'Master Data'!$E$44)))),"")</f>
        <v/>
      </c>
      <c r="N24" s="113" t="str">
        <f>_xlfn.IFERROR(IF(D24="","",IF(AND('Master Data'!$I$28='Copy of GA55 Check &amp; Edit'!$AP$6),"",IF(AND('Master Data'!$I$24='Copy of GA55 Check &amp; Edit'!$AO$6),"0",IF(AND(D24="Bonus"),VLOOKUP(D24,Copy of GA55 Check &amp; Edit!ram,4,0),"")))),"")</f>
        <v>#ERROR!</v>
      </c>
      <c r="O24" s="114" t="str">
        <f>IF(D24="","",IF('Master Data'!$N$25="","",SUM(E24:N24)))</f>
        <v>#ERROR!</v>
      </c>
      <c r="P24" s="103" t="str">
        <f>_xlfn.IFERROR(IF(OR('Master Data'!$I$28='Copy of GA55 Check &amp; Edit'!$AP$6,D24=""),"",IF(AND(D24=$AX$24),"",IF(AND(D24=$AX$25),"",IF(AND(D24=$AX$26),"",IF(AND(D24=$AX$27),"",IF(AND(D24=$AX$28),"",IF(AND(D24=$AX$29),"",IF(AND(E24=""),"",VLOOKUP(D24,Copy of GA55 Check &amp; Edit!ram,11,0))))))))),"")</f>
        <v>#ERROR!</v>
      </c>
      <c r="Q24" s="102" t="str">
        <f>_xlfn.IFERROR(IF(AND('Master Data'!$I$28='Copy of GA55 Check &amp; Edit'!$AP$6),"",IF(AND(D24=$AX$25),"",IF(AND(D24=$AX$28),"",IF(AND(D24=$AX$29),"",IF(AND(D24=""),"",IF(AND(BB28=""),"",VLOOKUP(D24,Copy of GA55 Check &amp; Edit!ram,12,0))))))),"")</f>
        <v>#ERROR!</v>
      </c>
      <c r="R24" s="103" t="str">
        <f>IFERROR(IF(OR('Master Data'!$I$29='Copy of GA55 Check &amp; Edit'!$AP$6,D24=""),"",IF(AND(D24=$AX$24),"",IF(AND(D24=$AX$25),"",IF(AND(D24=$AX$26),"",IF(AND(D24=$AX$27),"",IF(AND(D24=$AX$28),"",IF(AND(D24=$AX$29),"",IF(AND(E24=""),"",'Master Data'!$I$44)))))))),"")</f>
        <v/>
      </c>
      <c r="S24" s="103" t="str">
        <f>_xlfn.IFERROR(IF(OR('Master Data'!$I$28='Copy of GA55 Check &amp; Edit'!$AP$6),"",IF(D24="","",IF(E24="","",IF(AND(D24=$AX$24),"",IF(AND(D24=$AX$25),"",IF(AND(D24=$AX$26),"",IF(AND(D24=$AX$27),"",IF(AND(D24=$AX$28),"",IF(AND(D24=$AX$29),"",VLOOKUP(D24,Copy of GA55 Check &amp; Edit!ram,10,0)))))))))),"")</f>
        <v>#ERROR!</v>
      </c>
      <c r="T24" s="103" t="str">
        <f>IFERROR(IF(OR('Master Data'!$I$29='Copy of GA55 Check &amp; Edit'!$AP$6,D24=""),"",IF(AND(D24=$AX$24),"",IF(AND(D24=$AX$25),"",IF(AND(D24=$AX$26),"",IF(AND(D24=$AX$27),"",IF(AND(D24=$AX$28),"",IF(AND(D24=$AX$29),"",IF(AND(E24=""),"",'Master Data'!$K$44)))))))),"")</f>
        <v/>
      </c>
      <c r="U24" s="103" t="str">
        <f>IFERROR(IF(OR('Master Data'!$I$29='Copy of GA55 Check &amp; Edit'!$AP$6,D24=""),"",IF(AND(D24=$AX$24),"",IF(AND(D24=$AX$25),"",IF(AND(D24=$AX$26),"",IF(AND(D24=$AX$27),"",IF(AND(D24=$AX$28),"",IF(AND(D24=$AX$29),"",IF(AND(E24=""),"",'Master Data'!$L$44)))))))),"")</f>
        <v/>
      </c>
      <c r="V24" s="103" t="str">
        <f>IFERROR(IF(OR('Master Data'!$I$29='Copy of GA55 Check &amp; Edit'!$AP$6,D24=""),"",IF(AND(D24=$AX$24),"",IF(AND(D24=$AX$25),"",IF(AND(D24=$AX$26),"",IF(AND(D24=$AX$27),"",IF(AND(D24=$AX$28),"",IF(AND(D24=$AX$29),"",IF(AND(E24=""),"",'Master Data'!$M$44)))))))),"")</f>
        <v/>
      </c>
      <c r="W24" s="103" t="str">
        <f>IFERROR(IF(OR('Master Data'!$I$29='Copy of GA55 Check &amp; Edit'!$AP$6,D24=""),"",IF(AND(D24=$AX$24),"",IF(AND(D24=$AX$25),"",IF(AND(D24=$AX$26),"",IF(AND(D24=$AX$27),"",IF(AND(D24=$AX$28),"",IF(AND(D24=$AX$29),"",IF(AND(E24=""),"",'Master Data'!$N$44)))))))),"")</f>
        <v/>
      </c>
      <c r="X24" s="103" t="str">
        <f>IFERROR(IF(OR('Master Data'!$I$29='Copy of GA55 Check &amp; Edit'!$AP$6,D24=""),"",IF(AND(E24=""),"",IF(AND('Copy of GA55 Check &amp; Edit'!D24='Copy of GA55 Check &amp; Edit'!$AT$17,'Master Data'!$D$18="Gazetted"),500,IF(AND('Copy of GA55 Check &amp; Edit'!D24='Copy of GA55 Check &amp; Edit'!$AT$17,'Master Data'!$D$18="Non-Gazetted"),250,"")))),"")</f>
        <v/>
      </c>
      <c r="Y24" s="103" t="str">
        <f>IFERROR(IF(D24="","",IF(AND(E24=""),"",IF(AND(D24=$AX$24),"",IF(AND(D24=$AX$25),"",IF(AND(D24=$AX$26),"",IF(AND(D24=$AX$27),"",IF(AND(D24=$AX$28),"",IF(AND(D24=$AX$29),"",IF(OR('Master Data'!$I$29='Copy of GA55 Check &amp; Edit'!$AP$6,D24=""),"",$Y$7))))))))),"")</f>
        <v/>
      </c>
      <c r="Z24" s="103"/>
      <c r="AA24" s="103" t="str">
        <f>IFERROR(IF(OR('Master Data'!$I$29='Copy of GA55 Check &amp; Edit'!$AP$6,D24="",'Master Data'!$N$35=""),"",IF(AND(E24=""),"",IF('Copy of GA55 Check &amp; Edit'!D24='Copy of GA55 Check &amp; Edit'!$AT$9,'Master Data'!$N$35,""))),"")</f>
        <v/>
      </c>
      <c r="AB24" s="115" t="str">
        <f t="shared" si="8"/>
        <v>0</v>
      </c>
      <c r="AC24" s="116" t="str">
        <f t="shared" si="9"/>
        <v/>
      </c>
      <c r="AD24" s="117"/>
      <c r="AE24" s="118"/>
      <c r="AF24" s="1"/>
      <c r="AG24" s="108"/>
      <c r="AH24" s="109"/>
      <c r="AI24" s="109"/>
      <c r="AJ24" s="109"/>
      <c r="AK24" s="109"/>
      <c r="AL24" s="109"/>
      <c r="AM24" s="54"/>
      <c r="AN24" s="54"/>
      <c r="AO24" s="54"/>
      <c r="AP24" s="54"/>
      <c r="AQ24" s="54"/>
      <c r="AR24" s="54"/>
      <c r="AS24" s="54">
        <f>MROUND('Master Data'!N25*1.03,100)</f>
        <v>39100</v>
      </c>
      <c r="AT24" s="54"/>
      <c r="AU24" s="54" t="s">
        <v>87</v>
      </c>
      <c r="AV24" s="54"/>
      <c r="AW24" s="125"/>
      <c r="AX24" s="54" t="str">
        <f t="shared" ref="AX24:AX28" si="17">BM24</f>
        <v>Bonus</v>
      </c>
      <c r="AY24" s="54"/>
      <c r="AZ24" s="54"/>
      <c r="BA24" s="54">
        <f>IF('Master Data'!$I$27=1,ROUND((6774/12)*1,0),IF('Master Data'!$I$27=2,ROUND((6774/12)*2,0),IF('Master Data'!$I$27=3,ROUND((6774/12)*3,0),IF('Master Data'!$I$27=4,ROUND((6774/12)*4,0),IF('Master Data'!$I$27=5,ROUND((6774/12)*5,0),IF('Master Data'!$I$27=6,ROUND((6774/12)*6,0),IF('Master Data'!$I$27=7,ROUND((6774/12)*7,0),IF('Master Data'!$I$27=8,ROUND((6774/12)*8,0),IF('Master Data'!$I$27=9,ROUND((6774/12)*9,0),IF('Master Data'!$I$27=10,ROUND((6774/12)*10,0),IF('Master Data'!$I$27=11,ROUND((6774/12)*11,0),IF('Master Data'!$I$27=12,ROUND((6774/12)*12,0),0))))))))))))</f>
        <v>6774</v>
      </c>
      <c r="BB24" s="54">
        <v>6774.0</v>
      </c>
      <c r="BC24" s="54"/>
      <c r="BD24" s="54" t="str">
        <f t="shared" ref="BD24:BD27" si="18">IF(BC24="","",BC24)</f>
        <v/>
      </c>
      <c r="BE24" s="54"/>
      <c r="BF24" s="54"/>
      <c r="BG24" s="54"/>
      <c r="BH24" s="54"/>
      <c r="BI24" s="127" t="str">
        <f>IF('Master Data'!$I$25="No","",ROUND(BA24*25%,0))</f>
        <v/>
      </c>
      <c r="BJ24" s="54"/>
      <c r="BK24" s="130">
        <v>46082.0</v>
      </c>
      <c r="BL24" s="130">
        <f>IFERROR(IF('Master Data'!$N$25="","",IF('Master Data'!$F$41="","",IF(AND($AZ$17&gt;$AZ$9),"",DATE(YEAR(BL23),MONTH(BL23)+1,DAY(BL23))))),"")</f>
        <v>46082</v>
      </c>
      <c r="BM24" s="54" t="s">
        <v>39</v>
      </c>
      <c r="BN24" s="130" t="str">
        <f t="shared" si="10"/>
        <v/>
      </c>
      <c r="BO24" s="130" t="str">
        <f t="shared" si="13"/>
        <v>Bonus</v>
      </c>
      <c r="BP24" s="130"/>
      <c r="BQ24" s="130" t="str">
        <f t="shared" si="14"/>
        <v/>
      </c>
      <c r="BR24" s="130"/>
      <c r="BS24" s="55"/>
      <c r="BT24" s="55"/>
      <c r="BU24" s="55"/>
      <c r="BV24" s="130"/>
      <c r="BW24" s="54">
        <f t="shared" ref="BW24:BW30" si="19">MATCH(BM24,$D$9:$D$28,0)</f>
        <v>12</v>
      </c>
      <c r="BX24" s="55">
        <f t="shared" ref="BX24:BX30" si="20">IFERROR(IF(BB24="",0,VLOOKUP(BW24,$C$8:$AC$28,24)),0)</f>
        <v>0</v>
      </c>
      <c r="BY24" s="54"/>
      <c r="BZ24" s="55" t="str">
        <f t="shared" ref="BZ24:BZ30" si="21">VLOOKUP(BW24,$C$8:$AC$28,24)</f>
        <v>#ERROR!</v>
      </c>
      <c r="CA24" s="54"/>
      <c r="CB24" s="54"/>
      <c r="CC24" s="54"/>
      <c r="CD24" s="54"/>
      <c r="CE24" s="54"/>
      <c r="CF24" s="54"/>
      <c r="CG24" s="54"/>
      <c r="CH24" s="54"/>
      <c r="CI24" s="109"/>
      <c r="CJ24" s="109"/>
      <c r="CK24" s="109"/>
      <c r="CL24" s="109"/>
      <c r="CM24" s="109"/>
      <c r="CN24" s="109"/>
      <c r="CO24" s="109"/>
      <c r="CP24" s="108"/>
      <c r="CQ24" s="108"/>
      <c r="CR24" s="108"/>
      <c r="CS24" s="108"/>
      <c r="CT24" s="108"/>
    </row>
    <row r="25" ht="21.0" customHeight="1">
      <c r="A25" s="1" t="str">
        <f t="shared" si="1"/>
        <v>#REF!</v>
      </c>
      <c r="B25" s="96" t="str">
        <f t="shared" si="6"/>
        <v>#REF!</v>
      </c>
      <c r="C25" s="110"/>
      <c r="D25" s="111" t="str">
        <f t="shared" si="7"/>
        <v>PL Surrender Arrear</v>
      </c>
      <c r="E25" s="112" t="str">
        <f>_xlfn.IFERROR(IF(D25="","",IF(AND(BQ29=""),"",IF(AND('Master Data'!$I$28='Copy of GA55 Check &amp; Edit'!$AP$6),VLOOKUP(D25,Copy of GA55 Check &amp; Edit!ram,13,0),VLOOKUP(D25,Copy of GA55 Check &amp; Edit!ram,4,0)))),"")</f>
        <v>#ERROR!</v>
      </c>
      <c r="F25" s="113" t="str">
        <f>_xlfn.IFERROR(IF(D25="","",IF(D25=$AX$24,"",IF(AND(D25=$AX$28),"",IF(AND('Master Data'!$I$28='Copy of GA55 Check &amp; Edit'!$AP$5),VLOOKUP(D25,Copy of GA55 Check &amp; Edit!ram,7,0),"")))),"")</f>
        <v>#ERROR!</v>
      </c>
      <c r="G25" s="113" t="str">
        <f>_xlfn.IFERROR(IF(D25="","",IF(D25=$AX$24,"",IF(AND(D25=$AX$25),"",IF(AND(D25=$AX$26),"",IF(AND(D25=$AX$27),"",IF(AND(D25=$AX$28),"",IF(AND(D25=$AX$29),"",IF(AND('Master Data'!$I$28='Copy of GA55 Check &amp; Edit'!$AP$6),"",VLOOKUP(D25,Copy of GA55 Check &amp; Edit!ram,8,0))))))))),"")</f>
        <v>#ERROR!</v>
      </c>
      <c r="H25" s="113" t="str">
        <f>IFERROR(IF(D25="","",IF(AND(E25=""),"",IF(OR(D25=$AX$24,D25=$AX$25,D25=$AX$26,D25=$AX$27,D25=$AX$28,D25=$AX$29),"",IF(AND('Master Data'!$I$29='Copy of GA55 Check &amp; Edit'!$AP$5),'Master Data'!$B$44,"")))),"")</f>
        <v/>
      </c>
      <c r="I25" s="113" t="str">
        <f>IFERROR(IF(D25="","",IF(AND(E25=""),"",IF(OR(D25=$AX$24,D25=$AX$25,D25=$AX$26,D25=$AX$27,D25=$AX$28,D25=$AX$29),"",IF(AND('Master Data'!$I$29='Copy of GA55 Check &amp; Edit'!$AP$5,'Master Data'!$E$29='Copy of GA55 Check &amp; Edit'!$AO$5),'Master Data'!$E$31,"0")))),"")</f>
        <v/>
      </c>
      <c r="J25" s="113" t="str">
        <f>IFERROR(IF(OR('Master Data'!$E$33=$AO$6,'Master Data'!$E$33=""),"",IF(D25="","",IF(AND(E25=""),"",IF(OR(D25=$AX$24,D25=$AX$25,D25=$AX$26,D25=$AX$27,D25=$AX$28,D25=$AX$29),"",IF(AND('Master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5" s="113" t="str">
        <f>IFERROR(IF(D25="","",IF(AND(E25=""),"",IF(OR(D25=$AX$24,D25=$AX$25,D25=$AX$26,D25=$AX$27,D25=$AX$28,D25=$AX$29),"",IF(AND('Master Data'!$I$29='Copy of GA55 Check &amp; Edit'!$AP$5),'Master Data'!$C$44,"")))),"")</f>
        <v/>
      </c>
      <c r="L25" s="113" t="str">
        <f>IFERROR(IF(D25="","",IF(AND(E25=""),"",IF(OR(D25=$AX$24,D25=$AX$25,D25=$AX$26,D25=$AX$27,D25=$AX$28,D25=$AX$29),"",IF(AND('Master Data'!$I$29='Copy of GA55 Check &amp; Edit'!$AP$6),"",'Master Data'!$D$44)))),"")</f>
        <v/>
      </c>
      <c r="M25" s="113" t="str">
        <f>IFERROR(IF(D25="","",IF(AND(E25=""),"",IF(OR(D25=$AX$24,D25=$AX$25,D25=$AX$26,D25=$AX$27,D25=$AX$28,D25=$AX$29),"",IF(AND('Master Data'!$I$29='Copy of GA55 Check &amp; Edit'!$AP$6),"",'Master Data'!$E$44)))),"")</f>
        <v/>
      </c>
      <c r="N25" s="113" t="str">
        <f>_xlfn.IFERROR(IF(D25="","",IF(AND('Master Data'!$I$28='Copy of GA55 Check &amp; Edit'!$AP$6),"",IF(AND('Master Data'!$I$24='Copy of GA55 Check &amp; Edit'!$AO$6),"0",IF(AND(D25="Bonus"),VLOOKUP(D25,Copy of GA55 Check &amp; Edit!ram,4,0),"")))),"")</f>
        <v>#ERROR!</v>
      </c>
      <c r="O25" s="114" t="str">
        <f>IF(D25="","",IF('Master Data'!$N$25="","",SUM(E25:N25)))</f>
        <v>#ERROR!</v>
      </c>
      <c r="P25" s="103" t="str">
        <f>_xlfn.IFERROR(IF(OR('Master Data'!$I$28='Copy of GA55 Check &amp; Edit'!$AP$6,D25=""),"",IF(AND(D25=$AX$24),"",IF(AND(D25=$AX$25),"",IF(AND(D25=$AX$26),"",IF(AND(D25=$AX$27),"",IF(AND(D25=$AX$28),"",IF(AND(D25=$AX$29),"",IF(AND(E25=""),"",VLOOKUP(D25,Copy of GA55 Check &amp; Edit!ram,11,0))))))))),"")</f>
        <v>#ERROR!</v>
      </c>
      <c r="Q25" s="102" t="str">
        <f>_xlfn.IFERROR(IF(AND('Master Data'!$I$28='Copy of GA55 Check &amp; Edit'!$AP$6),"",IF(AND(D25=$AX$25),"",IF(AND(D25=$AX$28),"",IF(AND(D25=$AX$29),"",IF(AND(D25=""),"",IF(AND(BB29=""),"",VLOOKUP(D25,Copy of GA55 Check &amp; Edit!ram,12,0))))))),"")</f>
        <v>#ERROR!</v>
      </c>
      <c r="R25" s="103" t="str">
        <f>IFERROR(IF(OR('Master Data'!$I$29='Copy of GA55 Check &amp; Edit'!$AP$6,D25=""),"",IF(AND(D25=$AX$24),"",IF(AND(D25=$AX$25),"",IF(AND(D25=$AX$26),"",IF(AND(D25=$AX$27),"",IF(AND(D25=$AX$28),"",IF(AND(D25=$AX$29),"",IF(AND(E25=""),"",'Master Data'!$I$44)))))))),"")</f>
        <v/>
      </c>
      <c r="S25" s="103" t="str">
        <f>_xlfn.IFERROR(IF(OR('Master Data'!$I$28='Copy of GA55 Check &amp; Edit'!$AP$6),"",IF(D25="","",IF(E25="","",IF(AND(D25=$AX$24),"",IF(AND(D25=$AX$25),"",IF(AND(D25=$AX$26),"",IF(AND(D25=$AX$27),"",IF(AND(D25=$AX$28),"",IF(AND(D25=$AX$29),"",VLOOKUP(D25,Copy of GA55 Check &amp; Edit!ram,10,0)))))))))),"")</f>
        <v>#ERROR!</v>
      </c>
      <c r="T25" s="103" t="str">
        <f>IFERROR(IF(OR('Master Data'!$I$29='Copy of GA55 Check &amp; Edit'!$AP$6,D25=""),"",IF(AND(D25=$AX$24),"",IF(AND(D25=$AX$25),"",IF(AND(D25=$AX$26),"",IF(AND(D25=$AX$27),"",IF(AND(D25=$AX$28),"",IF(AND(D25=$AX$29),"",IF(AND(E25=""),"",'Master Data'!$K$44)))))))),"")</f>
        <v/>
      </c>
      <c r="U25" s="103" t="str">
        <f>IFERROR(IF(OR('Master Data'!$I$29='Copy of GA55 Check &amp; Edit'!$AP$6,D25=""),"",IF(AND(D25=$AX$24),"",IF(AND(D25=$AX$25),"",IF(AND(D25=$AX$26),"",IF(AND(D25=$AX$27),"",IF(AND(D25=$AX$28),"",IF(AND(D25=$AX$29),"",IF(AND(E25=""),"",'Master Data'!$L$44)))))))),"")</f>
        <v/>
      </c>
      <c r="V25" s="103" t="str">
        <f>IFERROR(IF(OR('Master Data'!$I$29='Copy of GA55 Check &amp; Edit'!$AP$6,D25=""),"",IF(AND(D25=$AX$24),"",IF(AND(D25=$AX$25),"",IF(AND(D25=$AX$26),"",IF(AND(D25=$AX$27),"",IF(AND(D25=$AX$28),"",IF(AND(D25=$AX$29),"",IF(AND(E25=""),"",'Master Data'!$M$44)))))))),"")</f>
        <v/>
      </c>
      <c r="W25" s="103" t="str">
        <f>IFERROR(IF(OR('Master Data'!$I$29='Copy of GA55 Check &amp; Edit'!$AP$6,D25=""),"",IF(AND(D25=$AX$24),"",IF(AND(D25=$AX$25),"",IF(AND(D25=$AX$26),"",IF(AND(D25=$AX$27),"",IF(AND(D25=$AX$28),"",IF(AND(D25=$AX$29),"",IF(AND(E25=""),"",'Master Data'!$N$44)))))))),"")</f>
        <v/>
      </c>
      <c r="X25" s="103" t="str">
        <f>IFERROR(IF(OR('Master Data'!$I$29='Copy of GA55 Check &amp; Edit'!$AP$6,D25=""),"",IF(AND(E25=""),"",IF(AND('Copy of GA55 Check &amp; Edit'!D25='Copy of GA55 Check &amp; Edit'!$AT$17,'Master Data'!$D$18="Gazetted"),500,IF(AND('Copy of GA55 Check &amp; Edit'!D25='Copy of GA55 Check &amp; Edit'!$AT$17,'Master Data'!$D$18="Non-Gazetted"),250,"")))),"")</f>
        <v/>
      </c>
      <c r="Y25" s="103" t="str">
        <f>IFERROR(IF(D25="","",IF(AND(E25=""),"",IF(AND(D25=$AX$24),"",IF(AND(D25=$AX$25),"",IF(AND(D25=$AX$26),"",IF(AND(D25=$AX$27),"",IF(AND(D25=$AX$28),"",IF(AND(D25=$AX$29),"",IF(OR('Master Data'!$I$29='Copy of GA55 Check &amp; Edit'!$AP$6,D25=""),"",$Y$7))))))))),"")</f>
        <v/>
      </c>
      <c r="Z25" s="103"/>
      <c r="AA25" s="103" t="str">
        <f>IFERROR(IF(OR('Master Data'!$I$29='Copy of GA55 Check &amp; Edit'!$AP$6,D25="",'Master Data'!$N$35=""),"",IF(AND(E25=""),"",IF('Copy of GA55 Check &amp; Edit'!D25='Copy of GA55 Check &amp; Edit'!$AT$9,'Master Data'!$N$35,""))),"")</f>
        <v/>
      </c>
      <c r="AB25" s="115" t="str">
        <f t="shared" si="8"/>
        <v>0</v>
      </c>
      <c r="AC25" s="116" t="str">
        <f t="shared" si="9"/>
        <v/>
      </c>
      <c r="AD25" s="117"/>
      <c r="AE25" s="118"/>
      <c r="AF25" s="1"/>
      <c r="AG25" s="108"/>
      <c r="AH25" s="109"/>
      <c r="AI25" s="109"/>
      <c r="AJ25" s="109"/>
      <c r="AK25" s="109"/>
      <c r="AL25" s="109"/>
      <c r="AM25" s="54"/>
      <c r="AN25" s="54"/>
      <c r="AO25" s="54"/>
      <c r="AP25" s="130"/>
      <c r="AQ25" s="54"/>
      <c r="AR25" s="54"/>
      <c r="AS25" s="54">
        <f>MROUND(AZ15*1.03,100)</f>
        <v>39100</v>
      </c>
      <c r="AT25" s="54"/>
      <c r="AU25" s="54" t="s">
        <v>88</v>
      </c>
      <c r="AV25" s="54"/>
      <c r="AW25" s="125"/>
      <c r="AX25" s="54" t="str">
        <f t="shared" si="17"/>
        <v>PL Surrender</v>
      </c>
      <c r="AY25" s="54"/>
      <c r="AZ25" s="54"/>
      <c r="BA25" s="54" t="str">
        <f>IF('Master Data'!$I$29='Copy of GA55 Check &amp; Edit'!$AP$6,"",IF(OR('Master Data'!E23="NO",'Master Data'!E23=""),"",VLOOKUP('Master Data'!I23,AW12:BD29,5,0)/2))</f>
        <v/>
      </c>
      <c r="BB25" s="54"/>
      <c r="BC25" s="54" t="str">
        <f>IF('Master Data'!$I$29='Copy of GA55 Check &amp; Edit'!$AP$6,"",IF(AND(BA25=""),"",IF(OR('Master Data'!I23='Copy of GA55 Check &amp; Edit'!AW12),ROUND(55%*BA25,0),IF(OR('Master Data'!I23='Copy of GA55 Check &amp; Edit'!AW13,'Master Data'!I23='Copy of GA55 Check &amp; Edit'!AW14,'Master Data'!I23='Copy of GA55 Check &amp; Edit'!AW15),ROUND(55%*BA25,0),IF(OR('Master Data'!I23='Copy of GA55 Check &amp; Edit'!AW16,'Master Data'!I23='Copy of GA55 Check &amp; Edit'!AW17,'Master Data'!I23='Copy of GA55 Check &amp; Edit'!AW18),ROUND(55%*BA25,0),ROUND(58%*BA25,0))))))</f>
        <v/>
      </c>
      <c r="BD25" s="54" t="str">
        <f t="shared" si="18"/>
        <v/>
      </c>
      <c r="BE25" s="54"/>
      <c r="BF25" s="54"/>
      <c r="BG25" s="54"/>
      <c r="BH25" s="54"/>
      <c r="BI25" s="127"/>
      <c r="BJ25" s="54"/>
      <c r="BK25" s="130">
        <v>46113.0</v>
      </c>
      <c r="BL25" s="130">
        <f>IFERROR(IF('Master Data'!$N$25="","",IF('Master Data'!$F$41="","",IF(AND($AZ$17&gt;$AZ$9),"",DATE(YEAR(BL24),MONTH(BL24)+1,DAY(BL24))))),"")</f>
        <v>46113</v>
      </c>
      <c r="BM25" s="54" t="s">
        <v>89</v>
      </c>
      <c r="BN25" s="130" t="str">
        <f t="shared" si="10"/>
        <v/>
      </c>
      <c r="BO25" s="130" t="str">
        <f t="shared" si="13"/>
        <v>PL Surrender</v>
      </c>
      <c r="BP25" s="130"/>
      <c r="BQ25" s="130" t="str">
        <f t="shared" si="14"/>
        <v>PL Surrender</v>
      </c>
      <c r="BR25" s="54"/>
      <c r="BS25" s="55"/>
      <c r="BT25" s="55"/>
      <c r="BU25" s="55"/>
      <c r="BV25" s="130"/>
      <c r="BW25" s="54">
        <f t="shared" si="19"/>
        <v>13</v>
      </c>
      <c r="BX25" s="55">
        <f t="shared" si="20"/>
        <v>0</v>
      </c>
      <c r="BY25" s="54"/>
      <c r="BZ25" s="55" t="str">
        <f t="shared" si="21"/>
        <v>#ERROR!</v>
      </c>
      <c r="CA25" s="54"/>
      <c r="CB25" s="54"/>
      <c r="CC25" s="54"/>
      <c r="CD25" s="54"/>
      <c r="CE25" s="54"/>
      <c r="CF25" s="54"/>
      <c r="CG25" s="54"/>
      <c r="CH25" s="54"/>
      <c r="CI25" s="109"/>
      <c r="CJ25" s="109"/>
      <c r="CK25" s="109"/>
      <c r="CL25" s="109"/>
      <c r="CM25" s="109"/>
      <c r="CN25" s="109"/>
      <c r="CO25" s="109"/>
      <c r="CP25" s="108"/>
      <c r="CQ25" s="108"/>
      <c r="CR25" s="108"/>
      <c r="CS25" s="108"/>
      <c r="CT25" s="108"/>
    </row>
    <row r="26" ht="21.0" customHeight="1">
      <c r="A26" s="1" t="str">
        <f t="shared" si="1"/>
        <v>#REF!</v>
      </c>
      <c r="B26" s="96" t="str">
        <f t="shared" si="6"/>
        <v>#REF!</v>
      </c>
      <c r="C26" s="110"/>
      <c r="D26" s="111" t="str">
        <f t="shared" si="7"/>
        <v>Fixation arrear</v>
      </c>
      <c r="E26" s="112" t="str">
        <f>_xlfn.IFERROR(IF(D26="","",IF(AND(BQ30=""),"",IF(AND('Master Data'!$I$28='Copy of GA55 Check &amp; Edit'!$AP$6),VLOOKUP(D26,Copy of GA55 Check &amp; Edit!ram,13,0),VLOOKUP(D26,Copy of GA55 Check &amp; Edit!ram,4,0)))),"")</f>
        <v>#ERROR!</v>
      </c>
      <c r="F26" s="113" t="str">
        <f>_xlfn.IFERROR(IF(D26="","",IF(D26=$AX$24,"",IF(AND(D26=$AX$28),"",IF(AND('Master Data'!$I$28='Copy of GA55 Check &amp; Edit'!$AP$5),VLOOKUP(D26,Copy of GA55 Check &amp; Edit!ram,7,0),"")))),"")</f>
        <v>#ERROR!</v>
      </c>
      <c r="G26" s="113" t="str">
        <f>_xlfn.IFERROR(IF(D26="","",IF(D26=$AX$24,"",IF(AND(D26=$AX$25),"",IF(AND(D26=$AX$26),"",IF(AND(D26=$AX$27),"",IF(AND(D26=$AX$28),"",IF(AND(D26=$AX$29),"",IF(AND('Master Data'!$I$28='Copy of GA55 Check &amp; Edit'!$AP$6),"",VLOOKUP(D26,Copy of GA55 Check &amp; Edit!ram,8,0))))))))),"")</f>
        <v>#ERROR!</v>
      </c>
      <c r="H26" s="113" t="str">
        <f>IFERROR(IF(D26="","",IF(AND(E26=""),"",IF(OR(D26=$AX$24,D26=$AX$25,D26=$AX$26,D26=$AX$27,D26=$AX$28,D26=$AX$29),"",IF(AND('Master Data'!$I$29='Copy of GA55 Check &amp; Edit'!$AP$5),'Master Data'!$B$44,"")))),"")</f>
        <v/>
      </c>
      <c r="I26" s="113" t="str">
        <f>IFERROR(IF(D26="","",IF(AND(E26=""),"",IF(OR(D26=$AX$24,D26=$AX$25,D26=$AX$26,D26=$AX$27,D26=$AX$28,D26=$AX$29),"",IF(AND('Master Data'!$I$29='Copy of GA55 Check &amp; Edit'!$AP$5,'Master Data'!$E$29='Copy of GA55 Check &amp; Edit'!$AO$5),'Master Data'!$E$31,"0")))),"")</f>
        <v/>
      </c>
      <c r="J26" s="113" t="str">
        <f>IFERROR(IF(OR('Master Data'!$E$33=$AO$6,'Master Data'!$E$33=""),"",IF(D26="","",IF(AND(E26=""),"",IF(OR(D26=$AX$24,D26=$AX$25,D26=$AX$26,D26=$AX$27,D26=$AX$28,D26=$AX$29),"",IF(AND('Master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6" s="113" t="str">
        <f>IFERROR(IF(D26="","",IF(AND(E26=""),"",IF(OR(D26=$AX$24,D26=$AX$25,D26=$AX$26,D26=$AX$27,D26=$AX$28,D26=$AX$29),"",IF(AND('Master Data'!$I$29='Copy of GA55 Check &amp; Edit'!$AP$5),'Master Data'!$C$44,"")))),"")</f>
        <v/>
      </c>
      <c r="L26" s="113" t="str">
        <f>IFERROR(IF(D26="","",IF(AND(E26=""),"",IF(OR(D26=$AX$24,D26=$AX$25,D26=$AX$26,D26=$AX$27,D26=$AX$28,D26=$AX$29),"",IF(AND('Master Data'!$I$29='Copy of GA55 Check &amp; Edit'!$AP$6),"",'Master Data'!$D$44)))),"")</f>
        <v/>
      </c>
      <c r="M26" s="113" t="str">
        <f>IFERROR(IF(D26="","",IF(AND(E26=""),"",IF(OR(D26=$AX$24,D26=$AX$25,D26=$AX$26,D26=$AX$27,D26=$AX$28,D26=$AX$29),"",IF(AND('Master Data'!$I$29='Copy of GA55 Check &amp; Edit'!$AP$6),"",'Master Data'!$E$44)))),"")</f>
        <v/>
      </c>
      <c r="N26" s="113" t="str">
        <f>_xlfn.IFERROR(IF(D26="","",IF(AND('Master Data'!$I$28='Copy of GA55 Check &amp; Edit'!$AP$6),"",IF(AND('Master Data'!$I$24='Copy of GA55 Check &amp; Edit'!$AO$6),"0",IF(AND(D26="Bonus"),VLOOKUP(D26,Copy of GA55 Check &amp; Edit!ram,4,0),"")))),"")</f>
        <v>#ERROR!</v>
      </c>
      <c r="O26" s="114" t="str">
        <f>IF(D26="","",IF('Master Data'!$N$25="","",SUM(E26:N26)))</f>
        <v>#ERROR!</v>
      </c>
      <c r="P26" s="103" t="str">
        <f>_xlfn.IFERROR(IF(OR('Master Data'!$I$28='Copy of GA55 Check &amp; Edit'!$AP$6,D26=""),"",IF(AND(D26=$AX$24),"",IF(AND(D26=$AX$25),"",IF(AND(D26=$AX$26),"",IF(AND(D26=$AX$27),"",IF(AND(D26=$AX$28),"",IF(AND(D26=$AX$29),"",IF(AND(E26=""),"",VLOOKUP(D26,Copy of GA55 Check &amp; Edit!ram,11,0))))))))),"")</f>
        <v>#ERROR!</v>
      </c>
      <c r="Q26" s="102" t="str">
        <f>_xlfn.IFERROR(IF(AND('Master Data'!$I$28='Copy of GA55 Check &amp; Edit'!$AP$6),"",IF(AND(D26=$AX$25),"",IF(AND(D26=$AX$28),"",IF(AND(D26=$AX$29),"",IF(AND(D26=""),"",IF(AND(BB30=""),"",VLOOKUP(D26,Copy of GA55 Check &amp; Edit!ram,12,0))))))),"")</f>
        <v>#ERROR!</v>
      </c>
      <c r="R26" s="103" t="str">
        <f>IFERROR(IF(OR('Master Data'!$I$29='Copy of GA55 Check &amp; Edit'!$AP$6,D26=""),"",IF(AND(D26=$AX$24),"",IF(AND(D26=$AX$25),"",IF(AND(D26=$AX$26),"",IF(AND(D26=$AX$27),"",IF(AND(D26=$AX$28),"",IF(AND(D26=$AX$29),"",IF(AND(E26=""),"",'Master Data'!$I$44)))))))),"")</f>
        <v/>
      </c>
      <c r="S26" s="103" t="str">
        <f>_xlfn.IFERROR(IF(OR('Master Data'!$I$28='Copy of GA55 Check &amp; Edit'!$AP$6),"",IF(D26="","",IF(E26="","",IF(AND(D26=$AX$24),"",IF(AND(D26=$AX$25),"",IF(AND(D26=$AX$26),"",IF(AND(D26=$AX$27),"",IF(AND(D26=$AX$28),"",IF(AND(D26=$AX$29),"",VLOOKUP(D26,Copy of GA55 Check &amp; Edit!ram,10,0)))))))))),"")</f>
        <v>#ERROR!</v>
      </c>
      <c r="T26" s="103" t="str">
        <f>IFERROR(IF(OR('Master Data'!$I$29='Copy of GA55 Check &amp; Edit'!$AP$6,D26=""),"",IF(AND(D26=$AX$24),"",IF(AND(D26=$AX$25),"",IF(AND(D26=$AX$26),"",IF(AND(D26=$AX$27),"",IF(AND(D26=$AX$28),"",IF(AND(D26=$AX$29),"",IF(AND(E26=""),"",'Master Data'!$K$44)))))))),"")</f>
        <v/>
      </c>
      <c r="U26" s="103" t="str">
        <f>IFERROR(IF(OR('Master Data'!$I$29='Copy of GA55 Check &amp; Edit'!$AP$6,D26=""),"",IF(AND(D26=$AX$24),"",IF(AND(D26=$AX$25),"",IF(AND(D26=$AX$26),"",IF(AND(D26=$AX$27),"",IF(AND(D26=$AX$28),"",IF(AND(D26=$AX$29),"",IF(AND(E26=""),"",'Master Data'!$L$44)))))))),"")</f>
        <v/>
      </c>
      <c r="V26" s="103" t="str">
        <f>IFERROR(IF(OR('Master Data'!$I$29='Copy of GA55 Check &amp; Edit'!$AP$6,D26=""),"",IF(AND(D26=$AX$24),"",IF(AND(D26=$AX$25),"",IF(AND(D26=$AX$26),"",IF(AND(D26=$AX$27),"",IF(AND(D26=$AX$28),"",IF(AND(D26=$AX$29),"",IF(AND(E26=""),"",'Master Data'!$M$44)))))))),"")</f>
        <v/>
      </c>
      <c r="W26" s="103" t="str">
        <f>IFERROR(IF(OR('Master Data'!$I$29='Copy of GA55 Check &amp; Edit'!$AP$6,D26=""),"",IF(AND(D26=$AX$24),"",IF(AND(D26=$AX$25),"",IF(AND(D26=$AX$26),"",IF(AND(D26=$AX$27),"",IF(AND(D26=$AX$28),"",IF(AND(D26=$AX$29),"",IF(AND(E26=""),"",'Master Data'!$N$44)))))))),"")</f>
        <v/>
      </c>
      <c r="X26" s="103" t="str">
        <f>IFERROR(IF(OR('Master Data'!$I$29='Copy of GA55 Check &amp; Edit'!$AP$6,D26=""),"",IF(AND(E26=""),"",IF(AND('Copy of GA55 Check &amp; Edit'!D26='Copy of GA55 Check &amp; Edit'!$AT$17,'Master Data'!$D$18="Gazetted"),500,IF(AND('Copy of GA55 Check &amp; Edit'!D26='Copy of GA55 Check &amp; Edit'!$AT$17,'Master Data'!$D$18="Non-Gazetted"),250,"")))),"")</f>
        <v/>
      </c>
      <c r="Y26" s="103" t="str">
        <f>IFERROR(IF(D26="","",IF(AND(E26=""),"",IF(AND(D26=$AX$24),"",IF(AND(D26=$AX$25),"",IF(AND(D26=$AX$26),"",IF(AND(D26=$AX$27),"",IF(AND(D26=$AX$28),"",IF(AND(D26=$AX$29),"",IF(OR('Master Data'!$I$29='Copy of GA55 Check &amp; Edit'!$AP$6,D26=""),"",$Y$7))))))))),"")</f>
        <v/>
      </c>
      <c r="Z26" s="103"/>
      <c r="AA26" s="103" t="str">
        <f>IFERROR(IF(OR('Master Data'!$I$29='Copy of GA55 Check &amp; Edit'!$AP$6,D26="",'Master Data'!$N$35=""),"",IF(AND(E26=""),"",IF('Copy of GA55 Check &amp; Edit'!D26='Copy of GA55 Check &amp; Edit'!$AT$9,'Master Data'!$N$35,""))),"")</f>
        <v/>
      </c>
      <c r="AB26" s="115" t="str">
        <f t="shared" si="8"/>
        <v>0</v>
      </c>
      <c r="AC26" s="116" t="str">
        <f t="shared" si="9"/>
        <v/>
      </c>
      <c r="AD26" s="117"/>
      <c r="AE26" s="118"/>
      <c r="AF26" s="1"/>
      <c r="AG26" s="108"/>
      <c r="AH26" s="109"/>
      <c r="AI26" s="109"/>
      <c r="AJ26" s="109"/>
      <c r="AK26" s="109"/>
      <c r="AL26" s="109"/>
      <c r="AM26" s="54"/>
      <c r="AN26" s="54"/>
      <c r="AO26" s="54"/>
      <c r="AP26" s="130"/>
      <c r="AQ26" s="54"/>
      <c r="AR26" s="54"/>
      <c r="AS26" s="54"/>
      <c r="AT26" s="54"/>
      <c r="AU26" s="54" t="s">
        <v>90</v>
      </c>
      <c r="AV26" s="54"/>
      <c r="AW26" s="125"/>
      <c r="AX26" s="54" t="str">
        <f t="shared" si="17"/>
        <v>DA Arrear 53 to 55%</v>
      </c>
      <c r="AY26" s="54"/>
      <c r="AZ26" s="54"/>
      <c r="BA26" s="54"/>
      <c r="BB26" s="54">
        <f>(ROUND((BA12*55%),0)-ROUND((BA12*53%),0))*3</f>
        <v>2280</v>
      </c>
      <c r="BC26" s="54">
        <f>(ROUND((BA12*55%),0)-ROUND((BA12*53%),0))*3</f>
        <v>2280</v>
      </c>
      <c r="BD26" s="54">
        <f t="shared" si="18"/>
        <v>2280</v>
      </c>
      <c r="BE26" s="54"/>
      <c r="BF26" s="54"/>
      <c r="BG26" s="54"/>
      <c r="BH26" s="54"/>
      <c r="BI26" s="127">
        <f t="shared" ref="BI26:BI27" si="22">BD26</f>
        <v>2280</v>
      </c>
      <c r="BJ26" s="54"/>
      <c r="BK26" s="130">
        <v>46143.0</v>
      </c>
      <c r="BL26" s="130">
        <f>IFERROR(IF('Master Data'!$N$25="","",IF('Master Data'!$F$41="","",IF(AND($AZ$17&gt;$AZ$9),"",DATE(YEAR(BL25),MONTH(BL25)+1,DAY(BL25))))),"")</f>
        <v>46143</v>
      </c>
      <c r="BM26" s="54" t="s">
        <v>91</v>
      </c>
      <c r="BN26" s="130" t="str">
        <f t="shared" si="10"/>
        <v/>
      </c>
      <c r="BO26" s="130" t="str">
        <f t="shared" si="13"/>
        <v>DA Arrear 53 to 55%</v>
      </c>
      <c r="BP26" s="130"/>
      <c r="BQ26" s="130" t="str">
        <f t="shared" si="14"/>
        <v/>
      </c>
      <c r="BR26" s="54"/>
      <c r="BS26" s="55"/>
      <c r="BT26" s="130"/>
      <c r="BU26" s="55"/>
      <c r="BV26" s="130"/>
      <c r="BW26" s="54">
        <f t="shared" si="19"/>
        <v>14</v>
      </c>
      <c r="BX26" s="55">
        <f t="shared" si="20"/>
        <v>0</v>
      </c>
      <c r="BY26" s="54"/>
      <c r="BZ26" s="55" t="str">
        <f t="shared" si="21"/>
        <v>#ERROR!</v>
      </c>
      <c r="CA26" s="54"/>
      <c r="CB26" s="54"/>
      <c r="CC26" s="54"/>
      <c r="CD26" s="54"/>
      <c r="CE26" s="54"/>
      <c r="CF26" s="54"/>
      <c r="CG26" s="54"/>
      <c r="CH26" s="54"/>
      <c r="CI26" s="109"/>
      <c r="CJ26" s="109"/>
      <c r="CK26" s="109"/>
      <c r="CL26" s="109"/>
      <c r="CM26" s="109"/>
      <c r="CN26" s="109"/>
      <c r="CO26" s="109"/>
      <c r="CP26" s="108"/>
      <c r="CQ26" s="108"/>
      <c r="CR26" s="108"/>
      <c r="CS26" s="108"/>
      <c r="CT26" s="108"/>
    </row>
    <row r="27" ht="21.0" customHeight="1">
      <c r="A27" s="1">
        <f t="shared" si="1"/>
        <v>0</v>
      </c>
      <c r="B27" s="96">
        <f t="shared" si="6"/>
        <v>0</v>
      </c>
      <c r="C27" s="110" t="str">
        <f t="shared" ref="C27:C28" si="23">IF(B27=0,"",B27)</f>
        <v/>
      </c>
      <c r="D27" s="111" t="str">
        <f t="shared" si="7"/>
        <v/>
      </c>
      <c r="E27" s="112" t="str">
        <f>_xlfn.IFERROR(IF(D27="","",IF(AND(BQ31=""),"",IF(AND('Master Data'!$I$28='Copy of GA55 Check &amp; Edit'!$AP$6),VLOOKUP(D27,Copy of GA55 Check &amp; Edit!ram,13,0),VLOOKUP(D27,Copy of GA55 Check &amp; Edit!ram,4,0)))),"")</f>
        <v>#ERROR!</v>
      </c>
      <c r="F27" s="113" t="str">
        <f>_xlfn.IFERROR(IF(D27="","",IF(D27=$AX$24,"",IF(AND(D27=$AX$28),"",IF(AND('Master Data'!$I$28='Copy of GA55 Check &amp; Edit'!$AP$5),VLOOKUP(D27,Copy of GA55 Check &amp; Edit!ram,7,0),"")))),"")</f>
        <v>#ERROR!</v>
      </c>
      <c r="G27" s="113" t="str">
        <f>_xlfn.IFERROR(IF(D27="","",IF(D27=$AX$24,"",IF(AND(D27=$AX$25),"",IF(AND(D27=$AX$26),"",IF(AND(D27=$AX$27),"",IF(AND(D27=$AX$28),"",IF(AND(D27=$AX$29),"",IF(AND('Master Data'!$I$28='Copy of GA55 Check &amp; Edit'!$AP$6),"",VLOOKUP(D27,Copy of GA55 Check &amp; Edit!ram,8,0))))))))),"")</f>
        <v>#ERROR!</v>
      </c>
      <c r="H27" s="113" t="str">
        <f>IFERROR(IF(D27="","",IF(AND(E27=""),"",IF(OR(D27=$AX$24,D27=$AX$25,D27=$AX$26,D27=$AX$27,D27=$AX$28,D27=$AX$29),"",IF(AND('Master Data'!$I$29='Copy of GA55 Check &amp; Edit'!$AP$5),'Master Data'!$B$44,"")))),"")</f>
        <v/>
      </c>
      <c r="I27" s="113" t="str">
        <f>IFERROR(IF(D27="","",IF(AND(E27=""),"",IF(OR(D27=$AX$24,D27=$AX$25,D27=$AX$26,D27=$AX$27,D27=$AX$28,D27=$AX$29),"",IF(AND('Master Data'!$I$29='Copy of GA55 Check &amp; Edit'!$AP$5,'Master Data'!$E$29='Copy of GA55 Check &amp; Edit'!$AO$5),'Master Data'!$E$31,"0")))),"")</f>
        <v/>
      </c>
      <c r="J27" s="113" t="str">
        <f>IFERROR(IF(OR('Master Data'!$E$33=$AO$6,'Master Data'!$E$33=""),"",IF(D27="","",IF(AND(E27=""),"",IF(OR(D27=$AX$24,D27=$AX$25,D27=$AX$26,D27=$AX$27,D27=$AX$28,D27=$AX$29),"",IF(AND('Master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7" s="113" t="str">
        <f>IFERROR(IF(D27="","",IF(AND(E27=""),"",IF(OR(D27=$AX$24,D27=$AX$25,D27=$AX$26,D27=$AX$27,D27=$AX$28,D27=$AX$29),"",IF(AND('Master Data'!$I$29='Copy of GA55 Check &amp; Edit'!$AP$5),'Master Data'!$C$44,"")))),"")</f>
        <v/>
      </c>
      <c r="L27" s="113" t="str">
        <f>IFERROR(IF(D27="","",IF(AND(E27=""),"",IF(OR(D27=$AX$24,D27=$AX$25,D27=$AX$26,D27=$AX$27,D27=$AX$28,D27=$AX$29),"",IF(AND('Master Data'!$I$29='Copy of GA55 Check &amp; Edit'!$AP$6),"",'Master Data'!$D$44)))),"")</f>
        <v/>
      </c>
      <c r="M27" s="113" t="str">
        <f>IFERROR(IF(D27="","",IF(AND(E27=""),"",IF(OR(D27=$AX$24,D27=$AX$25,D27=$AX$26,D27=$AX$27,D27=$AX$28,D27=$AX$29),"",IF(AND('Master Data'!$I$29='Copy of GA55 Check &amp; Edit'!$AP$6),"",'Master Data'!$E$44)))),"")</f>
        <v/>
      </c>
      <c r="N27" s="113" t="str">
        <f>_xlfn.IFERROR(IF(D27="","",IF(AND('Master Data'!$I$28='Copy of GA55 Check &amp; Edit'!$AP$6),"",IF(AND('Master Data'!$I$24='Copy of GA55 Check &amp; Edit'!$AO$6),"0",IF(AND(D27="Bonus"),VLOOKUP(D27,Copy of GA55 Check &amp; Edit!ram,4,0),"")))),"")</f>
        <v>#ERROR!</v>
      </c>
      <c r="O27" s="114" t="str">
        <f>IF(D27="","",IF('Master Data'!$N$25="","",SUM(E27:N27)))</f>
        <v/>
      </c>
      <c r="P27" s="103" t="str">
        <f>_xlfn.IFERROR(IF(OR('Master Data'!$I$28='Copy of GA55 Check &amp; Edit'!$AP$6,D27=""),"",IF(AND(D27=$AX$24),"",IF(AND(D27=$AX$25),"",IF(AND(D27=$AX$26),"",IF(AND(D27=$AX$27),"",IF(AND(D27=$AX$28),"",IF(AND(D27=$AX$29),"",IF(AND(E27=""),"",VLOOKUP(D27,Copy of GA55 Check &amp; Edit!ram,11,0))))))))),"")</f>
        <v>#ERROR!</v>
      </c>
      <c r="Q27" s="102" t="str">
        <f>_xlfn.IFERROR(IF(AND('Master Data'!$I$28='Copy of GA55 Check &amp; Edit'!$AP$6),"",IF(AND(D27=$AX$25),"",IF(AND(D27=$AX$28),"",IF(AND(D27=$AX$29),"",IF(AND(D27=""),"",IF(AND(BB31=""),"",VLOOKUP(D27,Copy of GA55 Check &amp; Edit!ram,12,0))))))),"")</f>
        <v>#ERROR!</v>
      </c>
      <c r="R27" s="103" t="str">
        <f>IFERROR(IF(OR('Master Data'!$I$29='Copy of GA55 Check &amp; Edit'!$AP$6,D27=""),"",IF(AND(D27=$AX$24),"",IF(AND(D27=$AX$25),"",IF(AND(D27=$AX$26),"",IF(AND(D27=$AX$27),"",IF(AND(D27=$AX$28),"",IF(AND(D27=$AX$29),"",IF(AND(E27=""),"",'Master Data'!$I$44)))))))),"")</f>
        <v/>
      </c>
      <c r="S27" s="103" t="str">
        <f>_xlfn.IFERROR(IF(OR('Master Data'!$I$28='Copy of GA55 Check &amp; Edit'!$AP$6),"",IF(D27="","",IF(E27="","",IF(AND(D27=$AX$24),"",IF(AND(D27=$AX$25),"",IF(AND(D27=$AX$26),"",IF(AND(D27=$AX$27),"",IF(AND(D27=$AX$28),"",IF(AND(D27=$AX$29),"",VLOOKUP(D27,Copy of GA55 Check &amp; Edit!ram,10,0)))))))))),"")</f>
        <v>#ERROR!</v>
      </c>
      <c r="T27" s="103" t="str">
        <f>IFERROR(IF(OR('Master Data'!$I$29='Copy of GA55 Check &amp; Edit'!$AP$6,D27=""),"",IF(AND(D27=$AX$24),"",IF(AND(D27=$AX$25),"",IF(AND(D27=$AX$26),"",IF(AND(D27=$AX$27),"",IF(AND(D27=$AX$28),"",IF(AND(D27=$AX$29),"",IF(AND(E27=""),"",'Master Data'!$K$44)))))))),"")</f>
        <v/>
      </c>
      <c r="U27" s="103" t="str">
        <f>IFERROR(IF(OR('Master Data'!$I$29='Copy of GA55 Check &amp; Edit'!$AP$6,D27=""),"",IF(AND(D27=$AX$24),"",IF(AND(D27=$AX$25),"",IF(AND(D27=$AX$26),"",IF(AND(D27=$AX$27),"",IF(AND(D27=$AX$28),"",IF(AND(D27=$AX$29),"",IF(AND(E27=""),"",'Master Data'!$L$44)))))))),"")</f>
        <v/>
      </c>
      <c r="V27" s="103" t="str">
        <f>IFERROR(IF(OR('Master Data'!$I$29='Copy of GA55 Check &amp; Edit'!$AP$6,D27=""),"",IF(AND(D27=$AX$24),"",IF(AND(D27=$AX$25),"",IF(AND(D27=$AX$26),"",IF(AND(D27=$AX$27),"",IF(AND(D27=$AX$28),"",IF(AND(D27=$AX$29),"",IF(AND(E27=""),"",'Master Data'!$M$44)))))))),"")</f>
        <v/>
      </c>
      <c r="W27" s="103" t="str">
        <f>IFERROR(IF(OR('Master Data'!$I$29='Copy of GA55 Check &amp; Edit'!$AP$6,D27=""),"",IF(AND(D27=$AX$24),"",IF(AND(D27=$AX$25),"",IF(AND(D27=$AX$26),"",IF(AND(D27=$AX$27),"",IF(AND(D27=$AX$28),"",IF(AND(D27=$AX$29),"",IF(AND(E27=""),"",'Master Data'!$N$44)))))))),"")</f>
        <v/>
      </c>
      <c r="X27" s="103" t="str">
        <f>IFERROR(IF(OR('Master Data'!$I$29='Copy of GA55 Check &amp; Edit'!$AP$6,D27=""),"",IF(AND(E27=""),"",IF(AND('Copy of GA55 Check &amp; Edit'!D27='Copy of GA55 Check &amp; Edit'!$AT$17,'Master Data'!$D$18="Gazetted"),500,IF(AND('Copy of GA55 Check &amp; Edit'!D27='Copy of GA55 Check &amp; Edit'!$AT$17,'Master Data'!$D$18="Non-Gazetted"),250,"")))),"")</f>
        <v/>
      </c>
      <c r="Y27" s="103" t="str">
        <f>IFERROR(IF(D27="","",IF(AND(E27=""),"",IF(AND(D27=$AX$24),"",IF(AND(D27=$AX$25),"",IF(AND(D27=$AX$26),"",IF(AND(D27=$AX$27),"",IF(AND(D27=$AX$28),"",IF(AND(D27=$AX$29),"",IF(OR('Master Data'!$I$29='Copy of GA55 Check &amp; Edit'!$AP$6,D27=""),"",$Y$7))))))))),"")</f>
        <v/>
      </c>
      <c r="Z27" s="103"/>
      <c r="AA27" s="103" t="str">
        <f>IFERROR(IF(OR('Master Data'!$I$29='Copy of GA55 Check &amp; Edit'!$AP$6,D27="",'Master Data'!$N$35=""),"",IF(AND(E27=""),"",IF('Copy of GA55 Check &amp; Edit'!D27='Copy of GA55 Check &amp; Edit'!$AT$9,'Master Data'!$N$35,""))),"")</f>
        <v/>
      </c>
      <c r="AB27" s="115" t="str">
        <f t="shared" si="8"/>
        <v/>
      </c>
      <c r="AC27" s="116" t="str">
        <f t="shared" si="9"/>
        <v/>
      </c>
      <c r="AD27" s="117"/>
      <c r="AE27" s="131"/>
      <c r="AF27" s="1"/>
      <c r="AG27" s="108"/>
      <c r="AH27" s="109"/>
      <c r="AI27" s="109"/>
      <c r="AJ27" s="109"/>
      <c r="AK27" s="109"/>
      <c r="AL27" s="109"/>
      <c r="AM27" s="54"/>
      <c r="AN27" s="54"/>
      <c r="AO27" s="54"/>
      <c r="AP27" s="54"/>
      <c r="AQ27" s="54"/>
      <c r="AR27" s="54"/>
      <c r="AS27" s="54"/>
      <c r="AT27" s="54"/>
      <c r="AU27" s="54" t="s">
        <v>92</v>
      </c>
      <c r="AV27" s="54"/>
      <c r="AW27" s="125"/>
      <c r="AX27" s="54" t="str">
        <f t="shared" si="17"/>
        <v>DA Arrear 55% to 58%</v>
      </c>
      <c r="AY27" s="54"/>
      <c r="AZ27" s="54"/>
      <c r="BA27" s="54"/>
      <c r="BB27" s="54">
        <f>(ROUND((BA16*58%),0)-ROUND((BA16*55%),0))*3</f>
        <v>3519</v>
      </c>
      <c r="BC27" s="54">
        <f>(ROUND((BA16*58%),0)-ROUND((BA16*55%),0))*3</f>
        <v>3519</v>
      </c>
      <c r="BD27" s="54">
        <f t="shared" si="18"/>
        <v>3519</v>
      </c>
      <c r="BE27" s="54"/>
      <c r="BF27" s="54"/>
      <c r="BG27" s="54"/>
      <c r="BH27" s="54"/>
      <c r="BI27" s="127">
        <f t="shared" si="22"/>
        <v>3519</v>
      </c>
      <c r="BJ27" s="54"/>
      <c r="BK27" s="130">
        <v>46174.0</v>
      </c>
      <c r="BL27" s="130">
        <f>IFERROR(IF('Master Data'!$N$25="","",IF('Master Data'!$F$41="","",IF(AND($AZ$17&gt;$AZ$9),"",DATE(YEAR(BL26),MONTH(BL26)+1,DAY(BL26))))),"")</f>
        <v>46174</v>
      </c>
      <c r="BM27" s="54" t="s">
        <v>93</v>
      </c>
      <c r="BN27" s="130" t="str">
        <f t="shared" si="10"/>
        <v/>
      </c>
      <c r="BO27" s="130" t="str">
        <f t="shared" si="13"/>
        <v>DA Arrear 55% to 58%</v>
      </c>
      <c r="BP27" s="130"/>
      <c r="BQ27" s="130" t="str">
        <f t="shared" si="14"/>
        <v/>
      </c>
      <c r="BR27" s="54"/>
      <c r="BS27" s="55"/>
      <c r="BT27" s="54"/>
      <c r="BU27" s="55"/>
      <c r="BV27" s="130"/>
      <c r="BW27" s="54">
        <f t="shared" si="19"/>
        <v>15</v>
      </c>
      <c r="BX27" s="55">
        <f t="shared" si="20"/>
        <v>0</v>
      </c>
      <c r="BY27" s="54"/>
      <c r="BZ27" s="55" t="str">
        <f t="shared" si="21"/>
        <v>#ERROR!</v>
      </c>
      <c r="CA27" s="54"/>
      <c r="CB27" s="54"/>
      <c r="CC27" s="54"/>
      <c r="CD27" s="54"/>
      <c r="CE27" s="54"/>
      <c r="CF27" s="54"/>
      <c r="CG27" s="54"/>
      <c r="CH27" s="54"/>
      <c r="CI27" s="109"/>
      <c r="CJ27" s="109"/>
      <c r="CK27" s="109"/>
      <c r="CL27" s="109"/>
      <c r="CM27" s="109"/>
      <c r="CN27" s="109"/>
      <c r="CO27" s="109"/>
      <c r="CP27" s="108"/>
      <c r="CQ27" s="108"/>
      <c r="CR27" s="108"/>
      <c r="CS27" s="108"/>
      <c r="CT27" s="108"/>
    </row>
    <row r="28" ht="21.0" customHeight="1">
      <c r="A28" s="1">
        <f t="shared" si="1"/>
        <v>0</v>
      </c>
      <c r="B28" s="96">
        <f t="shared" si="6"/>
        <v>0</v>
      </c>
      <c r="C28" s="132" t="str">
        <f t="shared" si="23"/>
        <v/>
      </c>
      <c r="D28" s="111" t="str">
        <f t="shared" si="7"/>
        <v/>
      </c>
      <c r="E28" s="112" t="str">
        <f>_xlfn.IFERROR(IF(D28="","",IF(AND(BQ32=""),"",IF(AND('Master Data'!$I$28='Copy of GA55 Check &amp; Edit'!$AP$6),VLOOKUP(D28,Copy of GA55 Check &amp; Edit!ram,13,0),VLOOKUP(D28,Copy of GA55 Check &amp; Edit!ram,4,0)))),"")</f>
        <v>#ERROR!</v>
      </c>
      <c r="F28" s="113" t="str">
        <f>_xlfn.IFERROR(IF(D28="","",IF(D28=$AX$24,"",IF(AND(D28=$AX$28),"",IF(AND('Master Data'!$I$28='Copy of GA55 Check &amp; Edit'!$AP$5),VLOOKUP(D28,Copy of GA55 Check &amp; Edit!ram,7,0),"")))),"")</f>
        <v>#ERROR!</v>
      </c>
      <c r="G28" s="113" t="str">
        <f>_xlfn.IFERROR(IF(D28="","",IF(D28=$AX$24,"",IF(AND(D28=$AX$25),"",IF(AND(D28=$AX$26),"",IF(AND(D28=$AX$27),"",IF(AND(D28=$AX$28),"",IF(AND(D28=$AX$29),"",IF(AND('Master Data'!$I$28='Copy of GA55 Check &amp; Edit'!$AP$6),"",VLOOKUP(D28,Copy of GA55 Check &amp; Edit!ram,8,0))))))))),"")</f>
        <v>#ERROR!</v>
      </c>
      <c r="H28" s="113" t="str">
        <f>IFERROR(IF(D28="","",IF(AND(E28=""),"",IF(OR(D28=$AX$24,D28=$AX$25,D28=$AX$26,D28=$AX$27,D28=$AX$28,D28=$AX$29),"",IF(AND('Master Data'!$I$29='Copy of GA55 Check &amp; Edit'!$AP$5),'Master Data'!$B$44,"")))),"")</f>
        <v/>
      </c>
      <c r="I28" s="113" t="str">
        <f>IFERROR(IF(D28="","",IF(AND(E28=""),"",IF(OR(D28=$AX$24,D28=$AX$25,D28=$AX$26,D28=$AX$27,D28=$AX$28,D28=$AX$29),"",IF(AND('Master Data'!$I$29='Copy of GA55 Check &amp; Edit'!$AP$5,'Master Data'!$E$29='Copy of GA55 Check &amp; Edit'!$AO$5),'Master Data'!$E$31,"0")))),"")</f>
        <v/>
      </c>
      <c r="J28" s="113" t="str">
        <f>IFERROR(IF(OR('Master Data'!$E$33=$AO$6,'Master Data'!$E$33=""),"",IF(D28="","",IF(AND(E28=""),"",IF(OR(D28=$AX$24,D28=$AX$25,D28=$AX$26,D28=$AX$27,D28=$AX$28,D28=$AX$29),"",IF(AND('Master Data'!$I$29='Copy of GA55 Check &amp; Edit'!$AP$6),"",IF(AND('Master Data'!$I$33=$AR$9),$AS$6,IF(AND('Master Data'!$I$33=$AR$10),$AS$6,IF(AND('Master Data'!$I$33=$AR$11),$AS$6,IF(AND('Master Data'!$I$33=$AR$12),$AS$6,$AS$5))))))))),"")</f>
        <v/>
      </c>
      <c r="K28" s="113" t="str">
        <f>IFERROR(IF(D28="","",IF(AND(E28=""),"",IF(OR(D28=$AX$24,D28=$AX$25,D28=$AX$26,D28=$AX$27,D28=$AX$28,D28=$AX$29),"",IF(AND('Master Data'!$I$29='Copy of GA55 Check &amp; Edit'!$AP$5),'Master Data'!$C$44,"")))),"")</f>
        <v/>
      </c>
      <c r="L28" s="113" t="str">
        <f>IFERROR(IF(D28="","",IF(AND(E28=""),"",IF(OR(D28=$AX$24,D28=$AX$25,D28=$AX$26,D28=$AX$27,D28=$AX$28,D28=$AX$29),"",IF(AND('Master Data'!$I$29='Copy of GA55 Check &amp; Edit'!$AP$6),"",'Master Data'!$D$44)))),"")</f>
        <v/>
      </c>
      <c r="M28" s="113" t="str">
        <f>IFERROR(IF(D28="","",IF(AND(E28=""),"",IF(OR(D28=$AX$24,D28=$AX$25,D28=$AX$26,D28=$AX$27,D28=$AX$28,D28=$AX$29),"",IF(AND('Master Data'!$I$29='Copy of GA55 Check &amp; Edit'!$AP$6),"",'Master Data'!$E$44)))),"")</f>
        <v/>
      </c>
      <c r="N28" s="113" t="str">
        <f>_xlfn.IFERROR(IF(D28="","",IF(AND('Master Data'!$I$28='Copy of GA55 Check &amp; Edit'!$AP$6),"",IF(AND('Master Data'!$I$24='Copy of GA55 Check &amp; Edit'!$AO$6),"0",IF(AND(D28="Bonus"),VLOOKUP(D28,Copy of GA55 Check &amp; Edit!ram,4,0),"")))),"")</f>
        <v>#ERROR!</v>
      </c>
      <c r="O28" s="114" t="str">
        <f>IF(D28="","",IF('Master Data'!$N$25="","",SUM(E28:N28)))</f>
        <v/>
      </c>
      <c r="P28" s="103" t="str">
        <f>_xlfn.IFERROR(IF(OR('Master Data'!$I$28='Copy of GA55 Check &amp; Edit'!$AP$6,D28=""),"",IF(AND(D28=$AX$24),"",IF(AND(D28=$AX$25),"",IF(AND(D28=$AX$26),"",IF(AND(D28=$AX$27),"",IF(AND(D28=$AX$28),"",IF(AND(D28=$AX$29),"",IF(AND(E28=""),"",VLOOKUP(D28,Copy of GA55 Check &amp; Edit!ram,11,0))))))))),"")</f>
        <v>#ERROR!</v>
      </c>
      <c r="Q28" s="102" t="str">
        <f>_xlfn.IFERROR(IF(AND('Master Data'!$I$28='Copy of GA55 Check &amp; Edit'!$AP$6),"",IF(AND(D28=$AX$25),"",IF(AND(D28=$AX$28),"",IF(AND(D28=$AX$29),"",IF(AND(D28=""),"",IF(AND(BB32=""),"",VLOOKUP(D28,Copy of GA55 Check &amp; Edit!ram,12,0))))))),"")</f>
        <v>#ERROR!</v>
      </c>
      <c r="R28" s="103" t="str">
        <f>IFERROR(IF(OR('Master Data'!$I$29='Copy of GA55 Check &amp; Edit'!$AP$6,D28=""),"",IF(AND(D28=$AX$24),"",IF(AND(D28=$AX$25),"",IF(AND(D28=$AX$26),"",IF(AND(D28=$AX$27),"",IF(AND(D28=$AX$28),"",IF(AND(D28=$AX$29),"",IF(AND(E28=""),"",'Master Data'!$I$44)))))))),"")</f>
        <v/>
      </c>
      <c r="S28" s="103" t="str">
        <f>_xlfn.IFERROR(IF(OR('Master Data'!$I$28='Copy of GA55 Check &amp; Edit'!$AP$6),"",IF(D28="","",IF(E28="","",IF(AND(D28=$AX$24),"",IF(AND(D28=$AX$25),"",IF(AND(D28=$AX$26),"",IF(AND(D28=$AX$27),"",IF(AND(D28=$AX$28),"",IF(AND(D28=$AX$29),"",VLOOKUP(D28,Copy of GA55 Check &amp; Edit!ram,10,0)))))))))),"")</f>
        <v>#ERROR!</v>
      </c>
      <c r="T28" s="103" t="str">
        <f>IFERROR(IF(OR('Master Data'!$I$29='Copy of GA55 Check &amp; Edit'!$AP$6,D28=""),"",IF(AND(D28=$AX$24),"",IF(AND(D28=$AX$25),"",IF(AND(D28=$AX$26),"",IF(AND(D28=$AX$27),"",IF(AND(D28=$AX$28),"",IF(AND(D28=$AX$29),"",IF(AND(E28=""),"",'Master Data'!$K$44)))))))),"")</f>
        <v/>
      </c>
      <c r="U28" s="103" t="str">
        <f>IFERROR(IF(OR('Master Data'!$I$29='Copy of GA55 Check &amp; Edit'!$AP$6,D28=""),"",IF(AND(D28=$AX$24),"",IF(AND(D28=$AX$25),"",IF(AND(D28=$AX$26),"",IF(AND(D28=$AX$27),"",IF(AND(D28=$AX$28),"",IF(AND(D28=$AX$29),"",IF(AND(E28=""),"",'Master Data'!$L$44)))))))),"")</f>
        <v/>
      </c>
      <c r="V28" s="103" t="str">
        <f>IFERROR(IF(OR('Master Data'!$I$29='Copy of GA55 Check &amp; Edit'!$AP$6,D28=""),"",IF(AND(D28=$AX$24),"",IF(AND(D28=$AX$25),"",IF(AND(D28=$AX$26),"",IF(AND(D28=$AX$27),"",IF(AND(D28=$AX$28),"",IF(AND(D28=$AX$29),"",IF(AND(E28=""),"",'Master Data'!$M$44)))))))),"")</f>
        <v/>
      </c>
      <c r="W28" s="103" t="str">
        <f>IFERROR(IF(OR('Master Data'!$I$29='Copy of GA55 Check &amp; Edit'!$AP$6,D28=""),"",IF(AND(D28=$AX$24),"",IF(AND(D28=$AX$25),"",IF(AND(D28=$AX$26),"",IF(AND(D28=$AX$27),"",IF(AND(D28=$AX$28),"",IF(AND(D28=$AX$29),"",IF(AND(E28=""),"",'Master Data'!$N$44)))))))),"")</f>
        <v/>
      </c>
      <c r="X28" s="103" t="str">
        <f>IFERROR(IF(OR('Master Data'!$I$29='Copy of GA55 Check &amp; Edit'!$AP$6,D28=""),"",IF(AND(E28=""),"",IF(AND('Copy of GA55 Check &amp; Edit'!D28='Copy of GA55 Check &amp; Edit'!$AT$17,'Master Data'!$D$18="Gazetted"),500,IF(AND('Copy of GA55 Check &amp; Edit'!D28='Copy of GA55 Check &amp; Edit'!$AT$17,'Master Data'!$D$18="Non-Gazetted"),250,"")))),"")</f>
        <v/>
      </c>
      <c r="Y28" s="103" t="str">
        <f>IFERROR(IF(D28="","",IF(AND(E28=""),"",IF(AND(D28=$AX$24),"",IF(AND(D28=$AX$25),"",IF(AND(D28=$AX$26),"",IF(AND(D28=$AX$27),"",IF(AND(D28=$AX$28),"",IF(AND(D28=$AX$29),"",IF(OR('Master Data'!$I$29='Copy of GA55 Check &amp; Edit'!$AP$6,D28=""),"",$Y$7))))))))),"")</f>
        <v/>
      </c>
      <c r="Z28" s="103"/>
      <c r="AA28" s="103" t="str">
        <f>IFERROR(IF(OR('Master Data'!$I$29='Copy of GA55 Check &amp; Edit'!$AP$6,D28="",'Master Data'!$N$35=""),"",IF(AND(E28=""),"",IF('Copy of GA55 Check &amp; Edit'!D28='Copy of GA55 Check &amp; Edit'!$AT$9,'Master Data'!$N$35,""))),"")</f>
        <v/>
      </c>
      <c r="AB28" s="115" t="str">
        <f t="shared" si="8"/>
        <v/>
      </c>
      <c r="AC28" s="116" t="str">
        <f t="shared" si="9"/>
        <v/>
      </c>
      <c r="AD28" s="133"/>
      <c r="AE28" s="134"/>
      <c r="AF28" s="1"/>
      <c r="AG28" s="108"/>
      <c r="AH28" s="109"/>
      <c r="AI28" s="109"/>
      <c r="AJ28" s="109"/>
      <c r="AK28" s="109"/>
      <c r="AL28" s="109"/>
      <c r="AM28" s="54"/>
      <c r="AN28" s="54"/>
      <c r="AO28" s="54"/>
      <c r="AP28" s="54"/>
      <c r="AQ28" s="54"/>
      <c r="AR28" s="54"/>
      <c r="AS28" s="54"/>
      <c r="AT28" s="54"/>
      <c r="AU28" s="54" t="s">
        <v>94</v>
      </c>
      <c r="AV28" s="54"/>
      <c r="AW28" s="125"/>
      <c r="AX28" s="54" t="str">
        <f t="shared" si="17"/>
        <v>ACP/MACP Arrear</v>
      </c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127"/>
      <c r="BJ28" s="54"/>
      <c r="BK28" s="130">
        <v>46204.0</v>
      </c>
      <c r="BL28" s="130">
        <f>IFERROR(IF('Master Data'!$N$25="","",IF('Master Data'!$F$41="","",IF(AND($AZ$17&gt;$AZ$9),"",DATE(YEAR(BL27),MONTH(BL27)+1,DAY(BL27))))),"")</f>
        <v>46204</v>
      </c>
      <c r="BM28" s="54" t="s">
        <v>95</v>
      </c>
      <c r="BN28" s="130" t="str">
        <f t="shared" si="10"/>
        <v/>
      </c>
      <c r="BO28" s="130" t="str">
        <f t="shared" si="13"/>
        <v>ACP/MACP Arrear</v>
      </c>
      <c r="BP28" s="54"/>
      <c r="BQ28" s="130" t="str">
        <f t="shared" si="14"/>
        <v/>
      </c>
      <c r="BR28" s="54"/>
      <c r="BS28" s="55"/>
      <c r="BT28" s="54"/>
      <c r="BU28" s="55"/>
      <c r="BV28" s="130"/>
      <c r="BW28" s="54">
        <f t="shared" si="19"/>
        <v>16</v>
      </c>
      <c r="BX28" s="55">
        <f t="shared" si="20"/>
        <v>0</v>
      </c>
      <c r="BY28" s="54"/>
      <c r="BZ28" s="55" t="str">
        <f t="shared" si="21"/>
        <v>#ERROR!</v>
      </c>
      <c r="CA28" s="54"/>
      <c r="CB28" s="54"/>
      <c r="CC28" s="54"/>
      <c r="CD28" s="54"/>
      <c r="CE28" s="54"/>
      <c r="CF28" s="54"/>
      <c r="CG28" s="54"/>
      <c r="CH28" s="54"/>
      <c r="CI28" s="109"/>
      <c r="CJ28" s="109"/>
      <c r="CK28" s="109"/>
      <c r="CL28" s="109"/>
      <c r="CM28" s="109"/>
      <c r="CN28" s="109"/>
      <c r="CO28" s="109"/>
      <c r="CP28" s="108"/>
      <c r="CQ28" s="108"/>
      <c r="CR28" s="108"/>
      <c r="CS28" s="108"/>
      <c r="CT28" s="108"/>
    </row>
    <row r="29" ht="21.0" customHeight="1">
      <c r="A29" s="45"/>
      <c r="B29" s="45"/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45"/>
      <c r="X29" s="135"/>
      <c r="Y29" s="135"/>
      <c r="Z29" s="135"/>
      <c r="AA29" s="135"/>
      <c r="AB29" s="45"/>
      <c r="AC29" s="135"/>
      <c r="AD29" s="135"/>
      <c r="AE29" s="135"/>
      <c r="AF29" s="135"/>
      <c r="AG29" s="136"/>
      <c r="AH29" s="137"/>
      <c r="AI29" s="137"/>
      <c r="AJ29" s="137"/>
      <c r="AK29" s="137"/>
      <c r="AL29" s="137"/>
      <c r="AM29" s="138"/>
      <c r="AN29" s="138"/>
      <c r="AO29" s="138"/>
      <c r="AP29" s="138"/>
      <c r="AQ29" s="138"/>
      <c r="AR29" s="138"/>
      <c r="AS29" s="138"/>
      <c r="AT29" s="138"/>
      <c r="AU29" s="54" t="s">
        <v>96</v>
      </c>
      <c r="AV29" s="138"/>
      <c r="AW29" s="139"/>
      <c r="AX29" s="54" t="str">
        <f t="shared" ref="AX29:AX32" si="24">IF(BM29="","",BM29)</f>
        <v>PL Surrender Arrear</v>
      </c>
      <c r="AY29" s="140"/>
      <c r="AZ29" s="140"/>
      <c r="BA29" s="140"/>
      <c r="BB29" s="140"/>
      <c r="BC29" s="54" t="str">
        <f>IF('Master Data'!$I$29='Copy of GA55 Check &amp; Edit'!$AP$6,"",IF(AND(BA25=""),"",IF(OR('Master Data'!I23='Copy of GA55 Check &amp; Edit'!AW10,'Master Data'!I23='Copy of GA55 Check &amp; Edit'!AW11,'Master Data'!I23='Copy of GA55 Check &amp; Edit'!AW12),ROUND(2%*BA25,0),IF(OR('Master Data'!I23='Copy of GA55 Check &amp; Edit'!AW16,'Master Data'!I23='Copy of GA55 Check &amp; Edit'!AW17,'Master Data'!I23='Copy of GA55 Check &amp; Edit'!AW18),ROUND(3%*BA25,0),""))))</f>
        <v/>
      </c>
      <c r="BD29" s="54" t="str">
        <f t="shared" ref="BD29:BD32" si="25">IF(BC29="","",BC29)</f>
        <v/>
      </c>
      <c r="BE29" s="140"/>
      <c r="BF29" s="140"/>
      <c r="BG29" s="140"/>
      <c r="BH29" s="140"/>
      <c r="BI29" s="127" t="str">
        <f>BD29</f>
        <v/>
      </c>
      <c r="BJ29" s="140"/>
      <c r="BK29" s="130">
        <v>46235.0</v>
      </c>
      <c r="BL29" s="130">
        <f>IFERROR(IF('Master Data'!$N$25="","",IF('Master Data'!$F$41="","",IF(AND($AZ$17&gt;$AZ$9),"",DATE(YEAR(BL28),MONTH(BL28)+1,DAY(BL28))))),"")</f>
        <v>46235</v>
      </c>
      <c r="BM29" s="54" t="s">
        <v>97</v>
      </c>
      <c r="BN29" s="130" t="str">
        <f t="shared" si="10"/>
        <v/>
      </c>
      <c r="BO29" s="130" t="str">
        <f t="shared" si="13"/>
        <v>PL Surrender Arrear</v>
      </c>
      <c r="BP29" s="138"/>
      <c r="BQ29" s="130" t="str">
        <f t="shared" si="14"/>
        <v/>
      </c>
      <c r="BR29" s="138"/>
      <c r="BS29" s="138"/>
      <c r="BT29" s="138"/>
      <c r="BU29" s="141"/>
      <c r="BV29" s="142"/>
      <c r="BW29" s="54">
        <f t="shared" si="19"/>
        <v>17</v>
      </c>
      <c r="BX29" s="55">
        <f t="shared" si="20"/>
        <v>0</v>
      </c>
      <c r="BY29" s="138"/>
      <c r="BZ29" s="55" t="str">
        <f t="shared" si="21"/>
        <v>#ERROR!</v>
      </c>
      <c r="CA29" s="138"/>
      <c r="CB29" s="138"/>
      <c r="CC29" s="138"/>
      <c r="CD29" s="138"/>
      <c r="CE29" s="138"/>
      <c r="CF29" s="138"/>
      <c r="CG29" s="138"/>
      <c r="CH29" s="138"/>
      <c r="CI29" s="137"/>
      <c r="CJ29" s="137"/>
      <c r="CK29" s="137"/>
      <c r="CL29" s="137"/>
      <c r="CM29" s="137"/>
      <c r="CN29" s="137"/>
      <c r="CO29" s="137"/>
      <c r="CP29" s="136"/>
      <c r="CQ29" s="136"/>
      <c r="CR29" s="136"/>
      <c r="CS29" s="136"/>
      <c r="CT29" s="136"/>
    </row>
    <row r="30" ht="21.0" customHeight="1">
      <c r="A30" s="45"/>
      <c r="B30" s="45"/>
      <c r="C30" s="45"/>
      <c r="D30" s="149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50"/>
      <c r="AG30" s="51"/>
      <c r="AH30" s="52"/>
      <c r="AI30" s="52"/>
      <c r="AJ30" s="52"/>
      <c r="AK30" s="52"/>
      <c r="AL30" s="52"/>
      <c r="AM30" s="53"/>
      <c r="AN30" s="53"/>
      <c r="AO30" s="53"/>
      <c r="AP30" s="53"/>
      <c r="AQ30" s="53"/>
      <c r="AR30" s="53"/>
      <c r="AS30" s="53"/>
      <c r="AT30" s="53"/>
      <c r="AU30" s="54" t="s">
        <v>98</v>
      </c>
      <c r="AV30" s="53"/>
      <c r="AW30" s="54"/>
      <c r="AX30" s="89" t="str">
        <f t="shared" si="24"/>
        <v>Fixation arrear</v>
      </c>
      <c r="AY30" s="54"/>
      <c r="AZ30" s="54"/>
      <c r="BA30" s="54" t="str">
        <f>IF(AND('Master Data'!$E$37=""),"",IF('Master Data'!$N$33='Copy of GA55 Check &amp; Edit'!$AO$5,'Master Data'!$E$37,""))</f>
        <v/>
      </c>
      <c r="BB30" s="54" t="str">
        <f>IF('Master Data'!$N$33='Copy of GA55 Check &amp; Edit'!$AO$5,BA30,"")</f>
        <v/>
      </c>
      <c r="BC30" s="54" t="str">
        <f>IFERROR(IF(AND('Master Data'!$E$37=""),"",ROUND(17%*BB30,0)),"")</f>
        <v/>
      </c>
      <c r="BD30" s="54" t="str">
        <f t="shared" si="25"/>
        <v/>
      </c>
      <c r="BE30" s="54"/>
      <c r="BF30" s="54"/>
      <c r="BG30" s="54" t="b">
        <f>IF(AND('Master Data'!$I$29='Copy of GA55 Check &amp; Edit'!$AP$6),"",IF(AND('Master Data'!$I$31='Copy of GA55 Check &amp; Edit'!$AN$6,'Master Data'!$N$37='Copy of GA55 Check &amp; Edit'!$AO$6),0,IF(AND('Master Data'!$I$31='Copy of GA55 Check &amp; Edit'!$AN$6,'Master Data'!$N$37='Copy of GA55 Check &amp; Edit'!$AO$5),'Master Data'!$J$44,IF(AND('Master Data'!$I$31='Copy of GA55 Check &amp; Edit'!$AN$5),IF($AZ$15&lt;18001,265,IF($AZ$15&lt;33501,440,IF($AZ$15&lt;54001,658,875)))))))</f>
        <v>0</v>
      </c>
      <c r="BH30" s="54" t="str">
        <f>IFERROR(IF(OR('Master Data'!$I$29='Copy of GA55 Check &amp; Edit'!$AP$6),"",IF('Master Data'!$N$33='Copy of GA55 Check &amp; Edit'!$AO$5,'Master Data'!$G$44,"")),"")</f>
        <v/>
      </c>
      <c r="BI30" s="54">
        <f>IFERROR(IF('Master Data'!$N$33='Copy of GA55 Check &amp; Edit'!$AO$6,"",IF(AND('Master Data'!I$31='Copy of GA55 Check &amp; Edit'!$AN$6),ROUND((BB30)*0.1,0),IF(AND('Master Data'!$I$29='Copy of GA55 Check &amp; Edit'!$AP$6),ROUND((BB30+BD30)*0.1,0),'Master Data'!$H$44))),"")</f>
        <v>0</v>
      </c>
      <c r="BJ30" s="54"/>
      <c r="BK30" s="130">
        <v>46266.0</v>
      </c>
      <c r="BL30" s="130">
        <f>IFERROR(IF('Master Data'!$N$25="","",IF('Master Data'!$F$41="","",IF(AND($AZ$17&gt;$AZ$9),"",DATE(YEAR(BL29),MONTH(BL29)+1,DAY(BL29))))),"")</f>
        <v>46266</v>
      </c>
      <c r="BM30" s="89" t="s">
        <v>99</v>
      </c>
      <c r="BN30" s="130" t="str">
        <f t="shared" si="10"/>
        <v/>
      </c>
      <c r="BO30" s="130" t="str">
        <f t="shared" si="13"/>
        <v>Fixation arrear</v>
      </c>
      <c r="BP30" s="53"/>
      <c r="BQ30" s="130" t="str">
        <f t="shared" si="14"/>
        <v>Fixation arrear</v>
      </c>
      <c r="BR30" s="53"/>
      <c r="BS30" s="53"/>
      <c r="BT30" s="53"/>
      <c r="BU30" s="53"/>
      <c r="BV30" s="130"/>
      <c r="BW30" s="54">
        <f t="shared" si="19"/>
        <v>18</v>
      </c>
      <c r="BX30" s="55">
        <f t="shared" si="20"/>
        <v>0</v>
      </c>
      <c r="BY30" s="53"/>
      <c r="BZ30" s="55" t="str">
        <f t="shared" si="21"/>
        <v>#ERROR!</v>
      </c>
      <c r="CA30" s="53"/>
      <c r="CB30" s="53"/>
      <c r="CC30" s="53"/>
      <c r="CD30" s="53"/>
      <c r="CE30" s="53"/>
      <c r="CF30" s="53"/>
      <c r="CG30" s="53"/>
      <c r="CH30" s="53"/>
      <c r="CI30" s="52"/>
      <c r="CJ30" s="52"/>
      <c r="CK30" s="52"/>
      <c r="CL30" s="52"/>
      <c r="CM30" s="52"/>
      <c r="CN30" s="52"/>
      <c r="CO30" s="52"/>
      <c r="CP30" s="51"/>
      <c r="CQ30" s="51"/>
      <c r="CR30" s="51"/>
      <c r="CS30" s="51"/>
      <c r="CT30" s="51"/>
    </row>
    <row r="31" ht="21.0" customHeight="1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50"/>
      <c r="AG31" s="51"/>
      <c r="AH31" s="52"/>
      <c r="AI31" s="52"/>
      <c r="AJ31" s="52"/>
      <c r="AK31" s="52"/>
      <c r="AL31" s="52"/>
      <c r="AM31" s="53"/>
      <c r="AN31" s="53"/>
      <c r="AO31" s="53"/>
      <c r="AP31" s="53"/>
      <c r="AQ31" s="53"/>
      <c r="AR31" s="53"/>
      <c r="AS31" s="53"/>
      <c r="AT31" s="53"/>
      <c r="AU31" s="54" t="s">
        <v>100</v>
      </c>
      <c r="AV31" s="53"/>
      <c r="AW31" s="54"/>
      <c r="AX31" s="89" t="str">
        <f t="shared" si="24"/>
        <v/>
      </c>
      <c r="AY31" s="54"/>
      <c r="AZ31" s="54"/>
      <c r="BA31" s="54" t="str">
        <f>IF(AND('Master Data'!$E$37=""),"",IF('Master Data'!$N$35='Copy of GA55 Check &amp; Edit'!$AO$5,'Master Data'!$E$37,""))</f>
        <v/>
      </c>
      <c r="BB31" s="54" t="str">
        <f>IF('Master Data'!$N$35='Copy of GA55 Check &amp; Edit'!$AO$5,BA31,"")</f>
        <v/>
      </c>
      <c r="BC31" s="54" t="str">
        <f>IFERROR(IF(AND('Master Data'!$E$37=""),"",ROUND(17%*BB31,0)),"")</f>
        <v/>
      </c>
      <c r="BD31" s="54" t="str">
        <f t="shared" si="25"/>
        <v/>
      </c>
      <c r="BE31" s="54" t="str">
        <f>IFERROR(IF(AND('Master Data'!$E$37=""),"",ROUND('Master Data'!$E$31%*BB31,0)),"")</f>
        <v/>
      </c>
      <c r="BF31" s="54"/>
      <c r="BG31" s="54" t="b">
        <f>IF(AND('Master Data'!$I$29='Copy of GA55 Check &amp; Edit'!$AP$6),"",IF(AND('Master Data'!$I$31='Copy of GA55 Check &amp; Edit'!$AN$6,'Master Data'!$N$37='Copy of GA55 Check &amp; Edit'!$AO$6),0,IF(AND('Master Data'!$I$31='Copy of GA55 Check &amp; Edit'!$AN$6,'Master Data'!$N$37='Copy of GA55 Check &amp; Edit'!$AO$5),'Master Data'!$J$44,IF(AND('Master Data'!$I$31='Copy of GA55 Check &amp; Edit'!$AN$5),IF($AZ$15&lt;18001,265,IF($AZ$15&lt;33501,440,IF($AZ$15&lt;54001,658,875)))))))</f>
        <v>0</v>
      </c>
      <c r="BH31" s="54" t="str">
        <f>IFERROR(IF(OR('Master Data'!$I$29='Copy of GA55 Check &amp; Edit'!$AP$6),"",IF('Master Data'!$N$35='Copy of GA55 Check &amp; Edit'!$AO$5,'Master Data'!$G$44,"")),"")</f>
        <v/>
      </c>
      <c r="BI31" s="54">
        <f>IFERROR(IF('Master Data'!$N$35='Copy of GA55 Check &amp; Edit'!$AO$6,"",IF(AND('Master Data'!I$31='Copy of GA55 Check &amp; Edit'!$AN$6),ROUND((BB31)*0.1,0),IF(AND('Master Data'!$I$29='Copy of GA55 Check &amp; Edit'!$AP$6),ROUND((BB31+BD31)*0.1,0),'Master Data'!$H$44))),"")</f>
        <v>0</v>
      </c>
      <c r="BJ31" s="54"/>
      <c r="BK31" s="130">
        <v>46296.0</v>
      </c>
      <c r="BL31" s="130">
        <f>IFERROR(IF('Master Data'!$N$25="","",IF('Master Data'!$F$41="","",IF(AND($AZ$17&gt;$AZ$9),"",DATE(YEAR(BL30),MONTH(BL30)+1,DAY(BL30))))),"")</f>
        <v>46296</v>
      </c>
      <c r="BM31" s="89" t="str">
        <f>IF(OR('Master Data'!N35='Copy of GA55 Check &amp; Edit'!AO5,'Master Data'!N41='Copy of GA55 Check &amp; Edit'!AO5),'Copy of GA55 Check &amp; Edit'!AX11,"")</f>
        <v/>
      </c>
      <c r="BN31" s="130" t="str">
        <f t="shared" si="10"/>
        <v/>
      </c>
      <c r="BO31" s="130" t="str">
        <f t="shared" ref="BO31:BO33" si="26">IFERROR(IF(BM31="","",IF(AND(BL31=$BK$24),$BM$24,IF(AND(BL31=$BK$25),$BM$25,IF(AND(BL31=$BK$26),$BM$26,IF(AND(BL31=$BK$27),$BM$27,IF(AND(BL31=$BK$28),$BM$28,IF(AND(BL31=$BK$29),$BM$29,IF(AND(BL31=$BK$30),$BM$30,IF(AND(BL31=$BK$31),$BM$31,IF(AND(BL31=$BK$32),$BM$32,BN31)))))))))),"")</f>
        <v/>
      </c>
      <c r="BP31" s="53"/>
      <c r="BQ31" s="130" t="str">
        <f t="shared" si="14"/>
        <v/>
      </c>
      <c r="BR31" s="53"/>
      <c r="BS31" s="53"/>
      <c r="BT31" s="53"/>
      <c r="BU31" s="53"/>
      <c r="BV31" s="53"/>
      <c r="BW31" s="54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2"/>
      <c r="CJ31" s="52"/>
      <c r="CK31" s="52"/>
      <c r="CL31" s="52"/>
      <c r="CM31" s="52"/>
      <c r="CN31" s="52"/>
      <c r="CO31" s="52"/>
      <c r="CP31" s="51"/>
      <c r="CQ31" s="51"/>
      <c r="CR31" s="51"/>
      <c r="CS31" s="51"/>
      <c r="CT31" s="51"/>
    </row>
    <row r="32" ht="21.0" hidden="1" customHeight="1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50"/>
      <c r="AG32" s="51"/>
      <c r="AH32" s="52"/>
      <c r="AI32" s="52"/>
      <c r="AJ32" s="52"/>
      <c r="AK32" s="52"/>
      <c r="AL32" s="52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4"/>
      <c r="AX32" s="89" t="str">
        <f t="shared" si="24"/>
        <v/>
      </c>
      <c r="AY32" s="54"/>
      <c r="AZ32" s="54"/>
      <c r="BA32" s="54" t="str">
        <f>IF('Master Data'!N41='Copy of GA55 Check &amp; Edit'!$AO$5,(AZ3-AZ1),"")</f>
        <v/>
      </c>
      <c r="BB32" s="54" t="str">
        <f>IF('Master Data'!N41='Copy of GA55 Check &amp; Edit'!$AO$5,BA32,"")</f>
        <v/>
      </c>
      <c r="BC32" s="54" t="str">
        <f>IF(OR('Master Data'!$E$37="",BB32=""),"",ROUND(17%*BB32,0))</f>
        <v/>
      </c>
      <c r="BD32" s="54" t="str">
        <f t="shared" si="25"/>
        <v/>
      </c>
      <c r="BE32" s="54" t="str">
        <f>IFERROR(IF(AND('Master Data'!$E$37=""),"",ROUND('Master Data'!$E$31%*BB32,0)),"")</f>
        <v/>
      </c>
      <c r="BF32" s="54"/>
      <c r="BG32" s="54"/>
      <c r="BH32" s="54"/>
      <c r="BI32" s="54">
        <f>IFERROR(IF(AND('Master Data'!$I$31='Copy of GA55 Check &amp; Edit'!$AN$6),ROUND((E19)*0.1,0),IF(AND('Master Data'!$I$29='Copy of GA55 Check &amp; Edit'!$AP$6),ROUND((E19+F19)*0.1,0),'Master Data'!$H$44)),"")</f>
        <v>0</v>
      </c>
      <c r="BJ32" s="54"/>
      <c r="BK32" s="130">
        <v>45597.0</v>
      </c>
      <c r="BL32" s="142" t="str">
        <f>IFERROR(IF('Master Data'!$E$37="","",IF('Master Data'!$F$41="","",IF(AND($AZ$17&gt;$AZ$9),"",DATE(YEAR(BL31),MONTH(BL31)+1,DAY(BL31))))),"")</f>
        <v/>
      </c>
      <c r="BM32" s="143" t="str">
        <f>IF('Master Data'!N41='Copy of GA55 Check &amp; Edit'!AO5,CONCATENATE("Defer Salary"," - ","March-20"),"")</f>
        <v/>
      </c>
      <c r="BN32" s="130" t="str">
        <f t="shared" si="10"/>
        <v/>
      </c>
      <c r="BO32" s="130" t="str">
        <f t="shared" si="26"/>
        <v/>
      </c>
      <c r="BP32" s="53"/>
      <c r="BQ32" s="130" t="str">
        <f t="shared" si="14"/>
        <v/>
      </c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2"/>
      <c r="CJ32" s="52"/>
      <c r="CK32" s="52"/>
      <c r="CL32" s="52"/>
      <c r="CM32" s="52"/>
      <c r="CN32" s="52"/>
      <c r="CO32" s="52"/>
      <c r="CP32" s="51"/>
      <c r="CQ32" s="51"/>
      <c r="CR32" s="51"/>
      <c r="CS32" s="51"/>
      <c r="CT32" s="51"/>
    </row>
    <row r="33" ht="21.0" hidden="1" customHeight="1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50"/>
      <c r="AG33" s="51"/>
      <c r="AH33" s="52"/>
      <c r="AI33" s="52"/>
      <c r="AJ33" s="52"/>
      <c r="AK33" s="52"/>
      <c r="AL33" s="52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3"/>
      <c r="BL33" s="53"/>
      <c r="BM33" s="53"/>
      <c r="BN33" s="53"/>
      <c r="BO33" s="130" t="str">
        <f t="shared" si="26"/>
        <v/>
      </c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2"/>
      <c r="CJ33" s="52"/>
      <c r="CK33" s="52"/>
      <c r="CL33" s="52"/>
      <c r="CM33" s="52"/>
      <c r="CN33" s="52"/>
      <c r="CO33" s="52"/>
      <c r="CP33" s="51"/>
      <c r="CQ33" s="51"/>
      <c r="CR33" s="51"/>
      <c r="CS33" s="51"/>
      <c r="CT33" s="51"/>
    </row>
    <row r="34" ht="21.0" hidden="1" customHeight="1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50"/>
      <c r="AG34" s="51"/>
      <c r="AH34" s="52"/>
      <c r="AI34" s="52"/>
      <c r="AJ34" s="52"/>
      <c r="AK34" s="52"/>
      <c r="AL34" s="52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2"/>
      <c r="CJ34" s="52"/>
      <c r="CK34" s="52"/>
      <c r="CL34" s="52"/>
      <c r="CM34" s="52"/>
      <c r="CN34" s="52"/>
      <c r="CO34" s="52"/>
      <c r="CP34" s="51"/>
      <c r="CQ34" s="51"/>
      <c r="CR34" s="51"/>
      <c r="CS34" s="51"/>
      <c r="CT34" s="51"/>
    </row>
    <row r="35" ht="21.0" hidden="1" customHeight="1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50"/>
      <c r="AG35" s="51"/>
      <c r="AH35" s="52"/>
      <c r="AI35" s="52"/>
      <c r="AJ35" s="52"/>
      <c r="AK35" s="52"/>
      <c r="AL35" s="52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3"/>
      <c r="BL35" s="7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2"/>
      <c r="CJ35" s="52"/>
      <c r="CK35" s="52"/>
      <c r="CL35" s="52"/>
      <c r="CM35" s="52"/>
      <c r="CN35" s="52"/>
      <c r="CO35" s="52"/>
      <c r="CP35" s="51"/>
      <c r="CQ35" s="51"/>
      <c r="CR35" s="51"/>
      <c r="CS35" s="51"/>
      <c r="CT35" s="51"/>
    </row>
    <row r="36" ht="21.0" customHeight="1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50"/>
      <c r="AG36" s="51"/>
      <c r="AH36" s="52"/>
      <c r="AI36" s="52"/>
      <c r="AJ36" s="52"/>
      <c r="AK36" s="52"/>
      <c r="AL36" s="52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2"/>
      <c r="CJ36" s="52"/>
      <c r="CK36" s="52"/>
      <c r="CL36" s="52"/>
      <c r="CM36" s="52"/>
      <c r="CN36" s="52"/>
      <c r="CO36" s="52"/>
      <c r="CP36" s="51"/>
      <c r="CQ36" s="51"/>
      <c r="CR36" s="51"/>
      <c r="CS36" s="51"/>
      <c r="CT36" s="51"/>
    </row>
    <row r="37" ht="21.0" customHeight="1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50"/>
      <c r="AG37" s="51"/>
      <c r="AH37" s="52"/>
      <c r="AI37" s="52"/>
      <c r="AJ37" s="52"/>
      <c r="AK37" s="52"/>
      <c r="AL37" s="52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2"/>
      <c r="CJ37" s="52"/>
      <c r="CK37" s="52"/>
      <c r="CL37" s="52"/>
      <c r="CM37" s="52"/>
      <c r="CN37" s="52"/>
      <c r="CO37" s="52"/>
      <c r="CP37" s="51"/>
      <c r="CQ37" s="51"/>
      <c r="CR37" s="51"/>
      <c r="CS37" s="51"/>
      <c r="CT37" s="51"/>
    </row>
    <row r="38" ht="21.0" customHeight="1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50"/>
      <c r="AG38" s="51"/>
      <c r="AH38" s="52"/>
      <c r="AI38" s="52"/>
      <c r="AJ38" s="52"/>
      <c r="AK38" s="52"/>
      <c r="AL38" s="52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2"/>
      <c r="CJ38" s="52"/>
      <c r="CK38" s="52"/>
      <c r="CL38" s="52"/>
      <c r="CM38" s="52"/>
      <c r="CN38" s="52"/>
      <c r="CO38" s="52"/>
      <c r="CP38" s="51"/>
      <c r="CQ38" s="51"/>
      <c r="CR38" s="51"/>
      <c r="CS38" s="51"/>
      <c r="CT38" s="51"/>
    </row>
    <row r="39" ht="21.0" customHeight="1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50"/>
      <c r="AG39" s="51"/>
      <c r="AH39" s="52"/>
      <c r="AI39" s="52"/>
      <c r="AJ39" s="52"/>
      <c r="AK39" s="52"/>
      <c r="AL39" s="52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2"/>
      <c r="CJ39" s="52"/>
      <c r="CK39" s="52"/>
      <c r="CL39" s="52"/>
      <c r="CM39" s="52"/>
      <c r="CN39" s="52"/>
      <c r="CO39" s="52"/>
      <c r="CP39" s="51"/>
      <c r="CQ39" s="51"/>
      <c r="CR39" s="51"/>
      <c r="CS39" s="51"/>
      <c r="CT39" s="51"/>
    </row>
    <row r="40" ht="21.0" customHeight="1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50"/>
      <c r="AG40" s="51"/>
      <c r="AH40" s="52"/>
      <c r="AI40" s="52"/>
      <c r="AJ40" s="52"/>
      <c r="AK40" s="52"/>
      <c r="AL40" s="52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2"/>
      <c r="CJ40" s="52"/>
      <c r="CK40" s="52"/>
      <c r="CL40" s="52"/>
      <c r="CM40" s="52"/>
      <c r="CN40" s="52"/>
      <c r="CO40" s="52"/>
      <c r="CP40" s="51"/>
      <c r="CQ40" s="51"/>
      <c r="CR40" s="51"/>
      <c r="CS40" s="51"/>
      <c r="CT40" s="51"/>
    </row>
    <row r="41" ht="21.0" customHeight="1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50"/>
      <c r="AG41" s="51"/>
      <c r="AH41" s="52"/>
      <c r="AI41" s="52"/>
      <c r="AJ41" s="52"/>
      <c r="AK41" s="52"/>
      <c r="AL41" s="52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2"/>
      <c r="CJ41" s="52"/>
      <c r="CK41" s="52"/>
      <c r="CL41" s="52"/>
      <c r="CM41" s="52"/>
      <c r="CN41" s="52"/>
      <c r="CO41" s="52"/>
      <c r="CP41" s="51"/>
      <c r="CQ41" s="51"/>
      <c r="CR41" s="51"/>
      <c r="CS41" s="51"/>
      <c r="CT41" s="51"/>
    </row>
    <row r="42" ht="21.0" customHeight="1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50"/>
      <c r="AG42" s="51"/>
      <c r="AH42" s="52"/>
      <c r="AI42" s="52"/>
      <c r="AJ42" s="52"/>
      <c r="AK42" s="52"/>
      <c r="AL42" s="52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2"/>
      <c r="CJ42" s="52"/>
      <c r="CK42" s="52"/>
      <c r="CL42" s="52"/>
      <c r="CM42" s="52"/>
      <c r="CN42" s="52"/>
      <c r="CO42" s="52"/>
      <c r="CP42" s="51"/>
      <c r="CQ42" s="51"/>
      <c r="CR42" s="51"/>
      <c r="CS42" s="51"/>
      <c r="CT42" s="51"/>
    </row>
    <row r="43" ht="21.0" customHeight="1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50"/>
      <c r="AG43" s="51"/>
      <c r="AH43" s="52"/>
      <c r="AI43" s="52"/>
      <c r="AJ43" s="52"/>
      <c r="AK43" s="52"/>
      <c r="AL43" s="52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2"/>
      <c r="CJ43" s="52"/>
      <c r="CK43" s="52"/>
      <c r="CL43" s="52"/>
      <c r="CM43" s="52"/>
      <c r="CN43" s="52"/>
      <c r="CO43" s="52"/>
      <c r="CP43" s="51"/>
      <c r="CQ43" s="51"/>
      <c r="CR43" s="51"/>
      <c r="CS43" s="51"/>
      <c r="CT43" s="51"/>
    </row>
    <row r="44" ht="21.0" customHeight="1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50"/>
      <c r="AG44" s="51"/>
      <c r="AH44" s="52"/>
      <c r="AI44" s="52"/>
      <c r="AJ44" s="52"/>
      <c r="AK44" s="52"/>
      <c r="AL44" s="52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2"/>
      <c r="CJ44" s="52"/>
      <c r="CK44" s="52"/>
      <c r="CL44" s="52"/>
      <c r="CM44" s="52"/>
      <c r="CN44" s="52"/>
      <c r="CO44" s="52"/>
      <c r="CP44" s="51"/>
      <c r="CQ44" s="51"/>
      <c r="CR44" s="51"/>
      <c r="CS44" s="51"/>
      <c r="CT44" s="51"/>
    </row>
    <row r="45" ht="21.0" customHeight="1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50"/>
      <c r="AG45" s="51"/>
      <c r="AH45" s="52"/>
      <c r="AI45" s="52"/>
      <c r="AJ45" s="52"/>
      <c r="AK45" s="52"/>
      <c r="AL45" s="52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2"/>
      <c r="CJ45" s="52"/>
      <c r="CK45" s="52"/>
      <c r="CL45" s="52"/>
      <c r="CM45" s="52"/>
      <c r="CN45" s="52"/>
      <c r="CO45" s="52"/>
      <c r="CP45" s="51"/>
      <c r="CQ45" s="51"/>
      <c r="CR45" s="51"/>
      <c r="CS45" s="51"/>
      <c r="CT45" s="51"/>
    </row>
    <row r="46" ht="21.0" customHeight="1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50"/>
      <c r="AG46" s="51"/>
      <c r="AH46" s="52"/>
      <c r="AI46" s="52"/>
      <c r="AJ46" s="52"/>
      <c r="AK46" s="52"/>
      <c r="AL46" s="52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2"/>
      <c r="CJ46" s="52"/>
      <c r="CK46" s="52"/>
      <c r="CL46" s="52"/>
      <c r="CM46" s="52"/>
      <c r="CN46" s="52"/>
      <c r="CO46" s="52"/>
      <c r="CP46" s="51"/>
      <c r="CQ46" s="51"/>
      <c r="CR46" s="51"/>
      <c r="CS46" s="51"/>
      <c r="CT46" s="51"/>
    </row>
    <row r="47" ht="21.0" customHeight="1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50"/>
      <c r="AG47" s="51"/>
      <c r="AH47" s="52"/>
      <c r="AI47" s="52"/>
      <c r="AJ47" s="52"/>
      <c r="AK47" s="52"/>
      <c r="AL47" s="52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2"/>
      <c r="CJ47" s="52"/>
      <c r="CK47" s="52"/>
      <c r="CL47" s="52"/>
      <c r="CM47" s="52"/>
      <c r="CN47" s="52"/>
      <c r="CO47" s="52"/>
      <c r="CP47" s="51"/>
      <c r="CQ47" s="51"/>
      <c r="CR47" s="51"/>
      <c r="CS47" s="51"/>
      <c r="CT47" s="51"/>
    </row>
    <row r="48" ht="21.0" customHeight="1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50"/>
      <c r="AG48" s="51"/>
      <c r="AH48" s="52"/>
      <c r="AI48" s="52"/>
      <c r="AJ48" s="52"/>
      <c r="AK48" s="52"/>
      <c r="AL48" s="52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2"/>
      <c r="CJ48" s="52"/>
      <c r="CK48" s="52"/>
      <c r="CL48" s="52"/>
      <c r="CM48" s="52"/>
      <c r="CN48" s="52"/>
      <c r="CO48" s="52"/>
      <c r="CP48" s="51"/>
      <c r="CQ48" s="51"/>
      <c r="CR48" s="51"/>
      <c r="CS48" s="51"/>
      <c r="CT48" s="51"/>
    </row>
    <row r="49" ht="21.0" customHeight="1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50"/>
      <c r="AG49" s="51"/>
      <c r="AH49" s="52"/>
      <c r="AI49" s="52"/>
      <c r="AJ49" s="52"/>
      <c r="AK49" s="52"/>
      <c r="AL49" s="52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2"/>
      <c r="CJ49" s="52"/>
      <c r="CK49" s="52"/>
      <c r="CL49" s="52"/>
      <c r="CM49" s="52"/>
      <c r="CN49" s="52"/>
      <c r="CO49" s="52"/>
      <c r="CP49" s="51"/>
      <c r="CQ49" s="51"/>
      <c r="CR49" s="51"/>
      <c r="CS49" s="51"/>
      <c r="CT49" s="51"/>
    </row>
    <row r="50" ht="21.0" customHeight="1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50"/>
      <c r="AG50" s="51"/>
      <c r="AH50" s="52"/>
      <c r="AI50" s="52"/>
      <c r="AJ50" s="52"/>
      <c r="AK50" s="52"/>
      <c r="AL50" s="52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2"/>
      <c r="CJ50" s="52"/>
      <c r="CK50" s="52"/>
      <c r="CL50" s="52"/>
      <c r="CM50" s="52"/>
      <c r="CN50" s="52"/>
      <c r="CO50" s="52"/>
      <c r="CP50" s="51"/>
      <c r="CQ50" s="51"/>
      <c r="CR50" s="51"/>
      <c r="CS50" s="51"/>
      <c r="CT50" s="51"/>
    </row>
    <row r="51" ht="21.0" customHeight="1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50"/>
      <c r="AG51" s="51"/>
      <c r="AH51" s="52"/>
      <c r="AI51" s="52"/>
      <c r="AJ51" s="52"/>
      <c r="AK51" s="52"/>
      <c r="AL51" s="52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2"/>
      <c r="CJ51" s="52"/>
      <c r="CK51" s="52"/>
      <c r="CL51" s="52"/>
      <c r="CM51" s="52"/>
      <c r="CN51" s="52"/>
      <c r="CO51" s="52"/>
      <c r="CP51" s="51"/>
      <c r="CQ51" s="51"/>
      <c r="CR51" s="51"/>
      <c r="CS51" s="51"/>
      <c r="CT51" s="51"/>
    </row>
    <row r="52" ht="21.0" customHeight="1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50"/>
      <c r="AG52" s="51"/>
      <c r="AH52" s="52"/>
      <c r="AI52" s="52"/>
      <c r="AJ52" s="52"/>
      <c r="AK52" s="52"/>
      <c r="AL52" s="52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2"/>
      <c r="CJ52" s="52"/>
      <c r="CK52" s="52"/>
      <c r="CL52" s="52"/>
      <c r="CM52" s="52"/>
      <c r="CN52" s="52"/>
      <c r="CO52" s="52"/>
      <c r="CP52" s="51"/>
      <c r="CQ52" s="51"/>
      <c r="CR52" s="51"/>
      <c r="CS52" s="51"/>
      <c r="CT52" s="51"/>
    </row>
    <row r="53" ht="21.0" customHeight="1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50"/>
      <c r="AG53" s="51"/>
      <c r="AH53" s="52"/>
      <c r="AI53" s="52"/>
      <c r="AJ53" s="52"/>
      <c r="AK53" s="52"/>
      <c r="AL53" s="52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2"/>
      <c r="CJ53" s="52"/>
      <c r="CK53" s="52"/>
      <c r="CL53" s="52"/>
      <c r="CM53" s="52"/>
      <c r="CN53" s="52"/>
      <c r="CO53" s="52"/>
      <c r="CP53" s="51"/>
      <c r="CQ53" s="51"/>
      <c r="CR53" s="51"/>
      <c r="CS53" s="51"/>
      <c r="CT53" s="51"/>
    </row>
    <row r="54" ht="21.0" customHeight="1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50"/>
      <c r="AG54" s="51"/>
      <c r="AH54" s="52"/>
      <c r="AI54" s="52"/>
      <c r="AJ54" s="52"/>
      <c r="AK54" s="52"/>
      <c r="AL54" s="52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2"/>
      <c r="CJ54" s="52"/>
      <c r="CK54" s="52"/>
      <c r="CL54" s="52"/>
      <c r="CM54" s="52"/>
      <c r="CN54" s="52"/>
      <c r="CO54" s="52"/>
      <c r="CP54" s="51"/>
      <c r="CQ54" s="51"/>
      <c r="CR54" s="51"/>
      <c r="CS54" s="51"/>
      <c r="CT54" s="51"/>
    </row>
    <row r="55" ht="21.0" customHeight="1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50"/>
      <c r="AG55" s="51"/>
      <c r="AH55" s="52"/>
      <c r="AI55" s="52"/>
      <c r="AJ55" s="52"/>
      <c r="AK55" s="52"/>
      <c r="AL55" s="52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2"/>
      <c r="CJ55" s="52"/>
      <c r="CK55" s="52"/>
      <c r="CL55" s="52"/>
      <c r="CM55" s="52"/>
      <c r="CN55" s="52"/>
      <c r="CO55" s="52"/>
      <c r="CP55" s="51"/>
      <c r="CQ55" s="51"/>
      <c r="CR55" s="51"/>
      <c r="CS55" s="51"/>
      <c r="CT55" s="51"/>
    </row>
    <row r="56" ht="21.0" customHeight="1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50"/>
      <c r="AG56" s="51"/>
      <c r="AH56" s="52"/>
      <c r="AI56" s="52"/>
      <c r="AJ56" s="52"/>
      <c r="AK56" s="52"/>
      <c r="AL56" s="52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2"/>
      <c r="CJ56" s="52"/>
      <c r="CK56" s="52"/>
      <c r="CL56" s="52"/>
      <c r="CM56" s="52"/>
      <c r="CN56" s="52"/>
      <c r="CO56" s="52"/>
      <c r="CP56" s="51"/>
      <c r="CQ56" s="51"/>
      <c r="CR56" s="51"/>
      <c r="CS56" s="51"/>
      <c r="CT56" s="51"/>
    </row>
    <row r="57" ht="21.0" customHeight="1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50"/>
      <c r="AG57" s="51"/>
      <c r="AH57" s="52"/>
      <c r="AI57" s="52"/>
      <c r="AJ57" s="52"/>
      <c r="AK57" s="52"/>
      <c r="AL57" s="52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2"/>
      <c r="CJ57" s="52"/>
      <c r="CK57" s="52"/>
      <c r="CL57" s="52"/>
      <c r="CM57" s="52"/>
      <c r="CN57" s="52"/>
      <c r="CO57" s="52"/>
      <c r="CP57" s="51"/>
      <c r="CQ57" s="51"/>
      <c r="CR57" s="51"/>
      <c r="CS57" s="51"/>
      <c r="CT57" s="51"/>
    </row>
    <row r="58" ht="21.0" customHeight="1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50"/>
      <c r="AG58" s="51"/>
      <c r="AH58" s="52"/>
      <c r="AI58" s="52"/>
      <c r="AJ58" s="52"/>
      <c r="AK58" s="52"/>
      <c r="AL58" s="52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2"/>
      <c r="CJ58" s="52"/>
      <c r="CK58" s="52"/>
      <c r="CL58" s="52"/>
      <c r="CM58" s="52"/>
      <c r="CN58" s="52"/>
      <c r="CO58" s="52"/>
      <c r="CP58" s="51"/>
      <c r="CQ58" s="51"/>
      <c r="CR58" s="51"/>
      <c r="CS58" s="51"/>
      <c r="CT58" s="51"/>
    </row>
    <row r="59" ht="21.0" customHeight="1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50"/>
      <c r="AG59" s="51"/>
      <c r="AH59" s="52"/>
      <c r="AI59" s="52"/>
      <c r="AJ59" s="52"/>
      <c r="AK59" s="52"/>
      <c r="AL59" s="52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2"/>
      <c r="CJ59" s="52"/>
      <c r="CK59" s="52"/>
      <c r="CL59" s="52"/>
      <c r="CM59" s="52"/>
      <c r="CN59" s="52"/>
      <c r="CO59" s="52"/>
      <c r="CP59" s="51"/>
      <c r="CQ59" s="51"/>
      <c r="CR59" s="51"/>
      <c r="CS59" s="51"/>
      <c r="CT59" s="51"/>
    </row>
    <row r="60" ht="21.0" customHeight="1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50"/>
      <c r="AG60" s="51"/>
      <c r="AH60" s="52"/>
      <c r="AI60" s="52"/>
      <c r="AJ60" s="52"/>
      <c r="AK60" s="52"/>
      <c r="AL60" s="52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2"/>
      <c r="CJ60" s="52"/>
      <c r="CK60" s="52"/>
      <c r="CL60" s="52"/>
      <c r="CM60" s="52"/>
      <c r="CN60" s="52"/>
      <c r="CO60" s="52"/>
      <c r="CP60" s="51"/>
      <c r="CQ60" s="51"/>
      <c r="CR60" s="51"/>
      <c r="CS60" s="51"/>
      <c r="CT60" s="51"/>
    </row>
    <row r="61" ht="21.0" customHeight="1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50"/>
      <c r="AG61" s="51"/>
      <c r="AH61" s="52"/>
      <c r="AI61" s="52"/>
      <c r="AJ61" s="52"/>
      <c r="AK61" s="52"/>
      <c r="AL61" s="52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2"/>
      <c r="CJ61" s="52"/>
      <c r="CK61" s="52"/>
      <c r="CL61" s="52"/>
      <c r="CM61" s="52"/>
      <c r="CN61" s="52"/>
      <c r="CO61" s="52"/>
      <c r="CP61" s="51"/>
      <c r="CQ61" s="51"/>
      <c r="CR61" s="51"/>
      <c r="CS61" s="51"/>
      <c r="CT61" s="51"/>
    </row>
    <row r="62" ht="21.0" customHeight="1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50"/>
      <c r="AG62" s="51"/>
      <c r="AH62" s="52"/>
      <c r="AI62" s="52"/>
      <c r="AJ62" s="52"/>
      <c r="AK62" s="52"/>
      <c r="AL62" s="52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2"/>
      <c r="CJ62" s="52"/>
      <c r="CK62" s="52"/>
      <c r="CL62" s="52"/>
      <c r="CM62" s="52"/>
      <c r="CN62" s="52"/>
      <c r="CO62" s="52"/>
      <c r="CP62" s="51"/>
      <c r="CQ62" s="51"/>
      <c r="CR62" s="51"/>
      <c r="CS62" s="51"/>
      <c r="CT62" s="51"/>
    </row>
    <row r="63" ht="21.0" customHeight="1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50"/>
      <c r="AG63" s="51"/>
      <c r="AH63" s="52"/>
      <c r="AI63" s="52"/>
      <c r="AJ63" s="52"/>
      <c r="AK63" s="52"/>
      <c r="AL63" s="52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2"/>
      <c r="CJ63" s="52"/>
      <c r="CK63" s="52"/>
      <c r="CL63" s="52"/>
      <c r="CM63" s="52"/>
      <c r="CN63" s="52"/>
      <c r="CO63" s="52"/>
      <c r="CP63" s="51"/>
      <c r="CQ63" s="51"/>
      <c r="CR63" s="51"/>
      <c r="CS63" s="51"/>
      <c r="CT63" s="51"/>
    </row>
    <row r="64" ht="21.0" customHeight="1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50"/>
      <c r="AG64" s="51"/>
      <c r="AH64" s="52"/>
      <c r="AI64" s="52"/>
      <c r="AJ64" s="52"/>
      <c r="AK64" s="52"/>
      <c r="AL64" s="52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2"/>
      <c r="CJ64" s="52"/>
      <c r="CK64" s="52"/>
      <c r="CL64" s="52"/>
      <c r="CM64" s="52"/>
      <c r="CN64" s="52"/>
      <c r="CO64" s="52"/>
      <c r="CP64" s="51"/>
      <c r="CQ64" s="51"/>
      <c r="CR64" s="51"/>
      <c r="CS64" s="51"/>
      <c r="CT64" s="51"/>
    </row>
    <row r="65" ht="21.0" customHeight="1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50"/>
      <c r="AG65" s="51"/>
      <c r="AH65" s="52"/>
      <c r="AI65" s="52"/>
      <c r="AJ65" s="52"/>
      <c r="AK65" s="52"/>
      <c r="AL65" s="52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2"/>
      <c r="CJ65" s="52"/>
      <c r="CK65" s="52"/>
      <c r="CL65" s="52"/>
      <c r="CM65" s="52"/>
      <c r="CN65" s="52"/>
      <c r="CO65" s="52"/>
      <c r="CP65" s="51"/>
      <c r="CQ65" s="51"/>
      <c r="CR65" s="51"/>
      <c r="CS65" s="51"/>
      <c r="CT65" s="51"/>
    </row>
    <row r="66" ht="21.0" customHeight="1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50"/>
      <c r="AG66" s="51"/>
      <c r="AH66" s="52"/>
      <c r="AI66" s="52"/>
      <c r="AJ66" s="52"/>
      <c r="AK66" s="52"/>
      <c r="AL66" s="52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2"/>
      <c r="CJ66" s="52"/>
      <c r="CK66" s="52"/>
      <c r="CL66" s="52"/>
      <c r="CM66" s="52"/>
      <c r="CN66" s="52"/>
      <c r="CO66" s="52"/>
      <c r="CP66" s="51"/>
      <c r="CQ66" s="51"/>
      <c r="CR66" s="51"/>
      <c r="CS66" s="51"/>
      <c r="CT66" s="51"/>
    </row>
    <row r="67" ht="21.0" customHeight="1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50"/>
      <c r="AG67" s="51"/>
      <c r="AH67" s="52"/>
      <c r="AI67" s="52"/>
      <c r="AJ67" s="52"/>
      <c r="AK67" s="52"/>
      <c r="AL67" s="52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2"/>
      <c r="CJ67" s="52"/>
      <c r="CK67" s="52"/>
      <c r="CL67" s="52"/>
      <c r="CM67" s="52"/>
      <c r="CN67" s="52"/>
      <c r="CO67" s="52"/>
      <c r="CP67" s="51"/>
      <c r="CQ67" s="51"/>
      <c r="CR67" s="51"/>
      <c r="CS67" s="51"/>
      <c r="CT67" s="51"/>
    </row>
    <row r="68" ht="21.0" customHeight="1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50"/>
      <c r="AG68" s="51"/>
      <c r="AH68" s="52"/>
      <c r="AI68" s="52"/>
      <c r="AJ68" s="52"/>
      <c r="AK68" s="52"/>
      <c r="AL68" s="52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2"/>
      <c r="CJ68" s="52"/>
      <c r="CK68" s="52"/>
      <c r="CL68" s="52"/>
      <c r="CM68" s="52"/>
      <c r="CN68" s="52"/>
      <c r="CO68" s="52"/>
      <c r="CP68" s="51"/>
      <c r="CQ68" s="51"/>
      <c r="CR68" s="51"/>
      <c r="CS68" s="51"/>
      <c r="CT68" s="51"/>
    </row>
    <row r="69" ht="21.0" customHeight="1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50"/>
      <c r="AG69" s="51"/>
      <c r="AH69" s="52"/>
      <c r="AI69" s="52"/>
      <c r="AJ69" s="52"/>
      <c r="AK69" s="52"/>
      <c r="AL69" s="52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2"/>
      <c r="CJ69" s="52"/>
      <c r="CK69" s="52"/>
      <c r="CL69" s="52"/>
      <c r="CM69" s="52"/>
      <c r="CN69" s="52"/>
      <c r="CO69" s="52"/>
      <c r="CP69" s="51"/>
      <c r="CQ69" s="51"/>
      <c r="CR69" s="51"/>
      <c r="CS69" s="51"/>
      <c r="CT69" s="51"/>
    </row>
    <row r="70" ht="21.0" customHeight="1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50"/>
      <c r="AG70" s="51"/>
      <c r="AH70" s="52"/>
      <c r="AI70" s="52"/>
      <c r="AJ70" s="52"/>
      <c r="AK70" s="52"/>
      <c r="AL70" s="52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2"/>
      <c r="CJ70" s="52"/>
      <c r="CK70" s="52"/>
      <c r="CL70" s="52"/>
      <c r="CM70" s="52"/>
      <c r="CN70" s="52"/>
      <c r="CO70" s="52"/>
      <c r="CP70" s="51"/>
      <c r="CQ70" s="51"/>
      <c r="CR70" s="51"/>
      <c r="CS70" s="51"/>
      <c r="CT70" s="51"/>
    </row>
    <row r="71" ht="21.0" customHeight="1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50"/>
      <c r="AG71" s="51"/>
      <c r="AH71" s="52"/>
      <c r="AI71" s="52"/>
      <c r="AJ71" s="52"/>
      <c r="AK71" s="52"/>
      <c r="AL71" s="52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2"/>
      <c r="CJ71" s="52"/>
      <c r="CK71" s="52"/>
      <c r="CL71" s="52"/>
      <c r="CM71" s="52"/>
      <c r="CN71" s="52"/>
      <c r="CO71" s="52"/>
      <c r="CP71" s="51"/>
      <c r="CQ71" s="51"/>
      <c r="CR71" s="51"/>
      <c r="CS71" s="51"/>
      <c r="CT71" s="51"/>
    </row>
    <row r="72" ht="21.0" customHeight="1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50"/>
      <c r="AG72" s="51"/>
      <c r="AH72" s="52"/>
      <c r="AI72" s="52"/>
      <c r="AJ72" s="52"/>
      <c r="AK72" s="52"/>
      <c r="AL72" s="52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2"/>
      <c r="CJ72" s="52"/>
      <c r="CK72" s="52"/>
      <c r="CL72" s="52"/>
      <c r="CM72" s="52"/>
      <c r="CN72" s="52"/>
      <c r="CO72" s="52"/>
      <c r="CP72" s="51"/>
      <c r="CQ72" s="51"/>
      <c r="CR72" s="51"/>
      <c r="CS72" s="51"/>
      <c r="CT72" s="51"/>
    </row>
    <row r="73" ht="21.0" customHeight="1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50"/>
      <c r="AG73" s="51"/>
      <c r="AH73" s="52"/>
      <c r="AI73" s="52"/>
      <c r="AJ73" s="52"/>
      <c r="AK73" s="52"/>
      <c r="AL73" s="52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2"/>
      <c r="CJ73" s="52"/>
      <c r="CK73" s="52"/>
      <c r="CL73" s="52"/>
      <c r="CM73" s="52"/>
      <c r="CN73" s="52"/>
      <c r="CO73" s="52"/>
      <c r="CP73" s="51"/>
      <c r="CQ73" s="51"/>
      <c r="CR73" s="51"/>
      <c r="CS73" s="51"/>
      <c r="CT73" s="51"/>
    </row>
    <row r="74" ht="21.0" customHeight="1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50"/>
      <c r="AG74" s="51"/>
      <c r="AH74" s="52"/>
      <c r="AI74" s="52"/>
      <c r="AJ74" s="52"/>
      <c r="AK74" s="52"/>
      <c r="AL74" s="52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2"/>
      <c r="CJ74" s="52"/>
      <c r="CK74" s="52"/>
      <c r="CL74" s="52"/>
      <c r="CM74" s="52"/>
      <c r="CN74" s="52"/>
      <c r="CO74" s="52"/>
      <c r="CP74" s="51"/>
      <c r="CQ74" s="51"/>
      <c r="CR74" s="51"/>
      <c r="CS74" s="51"/>
      <c r="CT74" s="51"/>
    </row>
    <row r="75" ht="21.0" customHeight="1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50"/>
      <c r="AG75" s="51"/>
      <c r="AH75" s="52"/>
      <c r="AI75" s="52"/>
      <c r="AJ75" s="52"/>
      <c r="AK75" s="52"/>
      <c r="AL75" s="52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2"/>
      <c r="CJ75" s="52"/>
      <c r="CK75" s="52"/>
      <c r="CL75" s="52"/>
      <c r="CM75" s="52"/>
      <c r="CN75" s="52"/>
      <c r="CO75" s="52"/>
      <c r="CP75" s="51"/>
      <c r="CQ75" s="51"/>
      <c r="CR75" s="51"/>
      <c r="CS75" s="51"/>
      <c r="CT75" s="51"/>
    </row>
    <row r="76" ht="21.0" customHeight="1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50"/>
      <c r="AG76" s="51"/>
      <c r="AH76" s="52"/>
      <c r="AI76" s="52"/>
      <c r="AJ76" s="52"/>
      <c r="AK76" s="52"/>
      <c r="AL76" s="52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2"/>
      <c r="CJ76" s="52"/>
      <c r="CK76" s="52"/>
      <c r="CL76" s="52"/>
      <c r="CM76" s="52"/>
      <c r="CN76" s="52"/>
      <c r="CO76" s="52"/>
      <c r="CP76" s="51"/>
      <c r="CQ76" s="51"/>
      <c r="CR76" s="51"/>
      <c r="CS76" s="51"/>
      <c r="CT76" s="51"/>
    </row>
    <row r="77" ht="21.0" customHeight="1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50"/>
      <c r="AG77" s="51"/>
      <c r="AH77" s="52"/>
      <c r="AI77" s="52"/>
      <c r="AJ77" s="52"/>
      <c r="AK77" s="52"/>
      <c r="AL77" s="52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2"/>
      <c r="CJ77" s="52"/>
      <c r="CK77" s="52"/>
      <c r="CL77" s="52"/>
      <c r="CM77" s="52"/>
      <c r="CN77" s="52"/>
      <c r="CO77" s="52"/>
      <c r="CP77" s="51"/>
      <c r="CQ77" s="51"/>
      <c r="CR77" s="51"/>
      <c r="CS77" s="51"/>
      <c r="CT77" s="51"/>
    </row>
    <row r="78" ht="21.0" customHeight="1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50"/>
      <c r="AG78" s="51"/>
      <c r="AH78" s="52"/>
      <c r="AI78" s="52"/>
      <c r="AJ78" s="52"/>
      <c r="AK78" s="52"/>
      <c r="AL78" s="52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2"/>
      <c r="CJ78" s="52"/>
      <c r="CK78" s="52"/>
      <c r="CL78" s="52"/>
      <c r="CM78" s="52"/>
      <c r="CN78" s="52"/>
      <c r="CO78" s="52"/>
      <c r="CP78" s="51"/>
      <c r="CQ78" s="51"/>
      <c r="CR78" s="51"/>
      <c r="CS78" s="51"/>
      <c r="CT78" s="51"/>
    </row>
    <row r="79" ht="21.0" customHeight="1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50"/>
      <c r="AG79" s="51"/>
      <c r="AH79" s="52"/>
      <c r="AI79" s="52"/>
      <c r="AJ79" s="52"/>
      <c r="AK79" s="52"/>
      <c r="AL79" s="52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2"/>
      <c r="CJ79" s="52"/>
      <c r="CK79" s="52"/>
      <c r="CL79" s="52"/>
      <c r="CM79" s="52"/>
      <c r="CN79" s="52"/>
      <c r="CO79" s="52"/>
      <c r="CP79" s="51"/>
      <c r="CQ79" s="51"/>
      <c r="CR79" s="51"/>
      <c r="CS79" s="51"/>
      <c r="CT79" s="51"/>
    </row>
    <row r="80" ht="21.0" customHeight="1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50"/>
      <c r="AG80" s="51"/>
      <c r="AH80" s="52"/>
      <c r="AI80" s="52"/>
      <c r="AJ80" s="52"/>
      <c r="AK80" s="52"/>
      <c r="AL80" s="52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J80" s="54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2"/>
      <c r="CJ80" s="52"/>
      <c r="CK80" s="52"/>
      <c r="CL80" s="52"/>
      <c r="CM80" s="52"/>
      <c r="CN80" s="52"/>
      <c r="CO80" s="52"/>
      <c r="CP80" s="51"/>
      <c r="CQ80" s="51"/>
      <c r="CR80" s="51"/>
      <c r="CS80" s="51"/>
      <c r="CT80" s="51"/>
    </row>
    <row r="81" ht="21.0" customHeight="1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50"/>
      <c r="AG81" s="51"/>
      <c r="AH81" s="52"/>
      <c r="AI81" s="52"/>
      <c r="AJ81" s="52"/>
      <c r="AK81" s="52"/>
      <c r="AL81" s="52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J81" s="54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2"/>
      <c r="CJ81" s="52"/>
      <c r="CK81" s="52"/>
      <c r="CL81" s="52"/>
      <c r="CM81" s="52"/>
      <c r="CN81" s="52"/>
      <c r="CO81" s="52"/>
      <c r="CP81" s="51"/>
      <c r="CQ81" s="51"/>
      <c r="CR81" s="51"/>
      <c r="CS81" s="51"/>
      <c r="CT81" s="51"/>
    </row>
    <row r="82" ht="21.0" customHeight="1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50"/>
      <c r="AG82" s="51"/>
      <c r="AH82" s="52"/>
      <c r="AI82" s="52"/>
      <c r="AJ82" s="52"/>
      <c r="AK82" s="52"/>
      <c r="AL82" s="52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J82" s="54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2"/>
      <c r="CJ82" s="52"/>
      <c r="CK82" s="52"/>
      <c r="CL82" s="52"/>
      <c r="CM82" s="52"/>
      <c r="CN82" s="52"/>
      <c r="CO82" s="52"/>
      <c r="CP82" s="51"/>
      <c r="CQ82" s="51"/>
      <c r="CR82" s="51"/>
      <c r="CS82" s="51"/>
      <c r="CT82" s="51"/>
    </row>
    <row r="83" ht="21.0" customHeight="1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50"/>
      <c r="AG83" s="51"/>
      <c r="AH83" s="52"/>
      <c r="AI83" s="52"/>
      <c r="AJ83" s="52"/>
      <c r="AK83" s="52"/>
      <c r="AL83" s="52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2"/>
      <c r="CJ83" s="52"/>
      <c r="CK83" s="52"/>
      <c r="CL83" s="52"/>
      <c r="CM83" s="52"/>
      <c r="CN83" s="52"/>
      <c r="CO83" s="52"/>
      <c r="CP83" s="51"/>
      <c r="CQ83" s="51"/>
      <c r="CR83" s="51"/>
      <c r="CS83" s="51"/>
      <c r="CT83" s="51"/>
    </row>
    <row r="84" ht="21.0" customHeight="1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50"/>
      <c r="AG84" s="51"/>
      <c r="AH84" s="52"/>
      <c r="AI84" s="52"/>
      <c r="AJ84" s="52"/>
      <c r="AK84" s="52"/>
      <c r="AL84" s="52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2"/>
      <c r="CJ84" s="52"/>
      <c r="CK84" s="52"/>
      <c r="CL84" s="52"/>
      <c r="CM84" s="52"/>
      <c r="CN84" s="52"/>
      <c r="CO84" s="52"/>
      <c r="CP84" s="51"/>
      <c r="CQ84" s="51"/>
      <c r="CR84" s="51"/>
      <c r="CS84" s="51"/>
      <c r="CT84" s="51"/>
    </row>
    <row r="85" ht="21.0" customHeight="1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50"/>
      <c r="AG85" s="51"/>
      <c r="AH85" s="52"/>
      <c r="AI85" s="52"/>
      <c r="AJ85" s="52"/>
      <c r="AK85" s="52"/>
      <c r="AL85" s="52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2"/>
      <c r="CJ85" s="52"/>
      <c r="CK85" s="52"/>
      <c r="CL85" s="52"/>
      <c r="CM85" s="52"/>
      <c r="CN85" s="52"/>
      <c r="CO85" s="52"/>
      <c r="CP85" s="51"/>
      <c r="CQ85" s="51"/>
      <c r="CR85" s="51"/>
      <c r="CS85" s="51"/>
      <c r="CT85" s="51"/>
    </row>
    <row r="86" ht="21.0" customHeight="1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50"/>
      <c r="AG86" s="51"/>
      <c r="AH86" s="52"/>
      <c r="AI86" s="52"/>
      <c r="AJ86" s="52"/>
      <c r="AK86" s="52"/>
      <c r="AL86" s="52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2"/>
      <c r="CJ86" s="52"/>
      <c r="CK86" s="52"/>
      <c r="CL86" s="52"/>
      <c r="CM86" s="52"/>
      <c r="CN86" s="52"/>
      <c r="CO86" s="52"/>
      <c r="CP86" s="51"/>
      <c r="CQ86" s="51"/>
      <c r="CR86" s="51"/>
      <c r="CS86" s="51"/>
      <c r="CT86" s="51"/>
    </row>
    <row r="87" ht="21.0" customHeight="1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50"/>
      <c r="AG87" s="51"/>
      <c r="AH87" s="52"/>
      <c r="AI87" s="52"/>
      <c r="AJ87" s="52"/>
      <c r="AK87" s="52"/>
      <c r="AL87" s="52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2"/>
      <c r="CJ87" s="52"/>
      <c r="CK87" s="52"/>
      <c r="CL87" s="52"/>
      <c r="CM87" s="52"/>
      <c r="CN87" s="52"/>
      <c r="CO87" s="52"/>
      <c r="CP87" s="51"/>
      <c r="CQ87" s="51"/>
      <c r="CR87" s="51"/>
      <c r="CS87" s="51"/>
      <c r="CT87" s="51"/>
    </row>
    <row r="88" ht="21.0" customHeight="1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50"/>
      <c r="AG88" s="51"/>
      <c r="AH88" s="52"/>
      <c r="AI88" s="52"/>
      <c r="AJ88" s="52"/>
      <c r="AK88" s="52"/>
      <c r="AL88" s="52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2"/>
      <c r="CJ88" s="52"/>
      <c r="CK88" s="52"/>
      <c r="CL88" s="52"/>
      <c r="CM88" s="52"/>
      <c r="CN88" s="52"/>
      <c r="CO88" s="52"/>
      <c r="CP88" s="51"/>
      <c r="CQ88" s="51"/>
      <c r="CR88" s="51"/>
      <c r="CS88" s="51"/>
      <c r="CT88" s="51"/>
    </row>
    <row r="89" ht="21.0" customHeight="1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50"/>
      <c r="AG89" s="51"/>
      <c r="AH89" s="52"/>
      <c r="AI89" s="52"/>
      <c r="AJ89" s="52"/>
      <c r="AK89" s="52"/>
      <c r="AL89" s="52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2"/>
      <c r="CJ89" s="52"/>
      <c r="CK89" s="52"/>
      <c r="CL89" s="52"/>
      <c r="CM89" s="52"/>
      <c r="CN89" s="52"/>
      <c r="CO89" s="52"/>
      <c r="CP89" s="51"/>
      <c r="CQ89" s="51"/>
      <c r="CR89" s="51"/>
      <c r="CS89" s="51"/>
      <c r="CT89" s="51"/>
    </row>
    <row r="90" ht="21.0" customHeight="1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50"/>
      <c r="AG90" s="51"/>
      <c r="AH90" s="52"/>
      <c r="AI90" s="52"/>
      <c r="AJ90" s="52"/>
      <c r="AK90" s="52"/>
      <c r="AL90" s="52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2"/>
      <c r="CJ90" s="52"/>
      <c r="CK90" s="52"/>
      <c r="CL90" s="52"/>
      <c r="CM90" s="52"/>
      <c r="CN90" s="52"/>
      <c r="CO90" s="52"/>
      <c r="CP90" s="51"/>
      <c r="CQ90" s="51"/>
      <c r="CR90" s="51"/>
      <c r="CS90" s="51"/>
      <c r="CT90" s="51"/>
    </row>
    <row r="91" ht="21.0" customHeight="1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50"/>
      <c r="AG91" s="51"/>
      <c r="AH91" s="52"/>
      <c r="AI91" s="52"/>
      <c r="AJ91" s="52"/>
      <c r="AK91" s="52"/>
      <c r="AL91" s="52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2"/>
      <c r="CJ91" s="52"/>
      <c r="CK91" s="52"/>
      <c r="CL91" s="52"/>
      <c r="CM91" s="52"/>
      <c r="CN91" s="52"/>
      <c r="CO91" s="52"/>
      <c r="CP91" s="51"/>
      <c r="CQ91" s="51"/>
      <c r="CR91" s="51"/>
      <c r="CS91" s="51"/>
      <c r="CT91" s="51"/>
    </row>
    <row r="92" ht="21.0" customHeight="1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50"/>
      <c r="AG92" s="51"/>
      <c r="AH92" s="52"/>
      <c r="AI92" s="52"/>
      <c r="AJ92" s="52"/>
      <c r="AK92" s="52"/>
      <c r="AL92" s="52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2"/>
      <c r="CJ92" s="52"/>
      <c r="CK92" s="52"/>
      <c r="CL92" s="52"/>
      <c r="CM92" s="52"/>
      <c r="CN92" s="52"/>
      <c r="CO92" s="52"/>
      <c r="CP92" s="51"/>
      <c r="CQ92" s="51"/>
      <c r="CR92" s="51"/>
      <c r="CS92" s="51"/>
      <c r="CT92" s="51"/>
    </row>
    <row r="93" ht="21.0" customHeight="1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50"/>
      <c r="AG93" s="51"/>
      <c r="AH93" s="52"/>
      <c r="AI93" s="52"/>
      <c r="AJ93" s="52"/>
      <c r="AK93" s="52"/>
      <c r="AL93" s="52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  <c r="BI93" s="54"/>
      <c r="BJ93" s="54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2"/>
      <c r="CJ93" s="52"/>
      <c r="CK93" s="52"/>
      <c r="CL93" s="52"/>
      <c r="CM93" s="52"/>
      <c r="CN93" s="52"/>
      <c r="CO93" s="52"/>
      <c r="CP93" s="51"/>
      <c r="CQ93" s="51"/>
      <c r="CR93" s="51"/>
      <c r="CS93" s="51"/>
      <c r="CT93" s="51"/>
    </row>
    <row r="94" ht="21.0" customHeight="1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50"/>
      <c r="AG94" s="51"/>
      <c r="AH94" s="52"/>
      <c r="AI94" s="52"/>
      <c r="AJ94" s="52"/>
      <c r="AK94" s="52"/>
      <c r="AL94" s="52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  <c r="BI94" s="54"/>
      <c r="BJ94" s="54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2"/>
      <c r="CJ94" s="52"/>
      <c r="CK94" s="52"/>
      <c r="CL94" s="52"/>
      <c r="CM94" s="52"/>
      <c r="CN94" s="52"/>
      <c r="CO94" s="52"/>
      <c r="CP94" s="51"/>
      <c r="CQ94" s="51"/>
      <c r="CR94" s="51"/>
      <c r="CS94" s="51"/>
      <c r="CT94" s="51"/>
    </row>
    <row r="95" ht="21.0" customHeight="1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50"/>
      <c r="AG95" s="51"/>
      <c r="AH95" s="52"/>
      <c r="AI95" s="52"/>
      <c r="AJ95" s="52"/>
      <c r="AK95" s="52"/>
      <c r="AL95" s="52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  <c r="BI95" s="54"/>
      <c r="BJ95" s="54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2"/>
      <c r="CJ95" s="52"/>
      <c r="CK95" s="52"/>
      <c r="CL95" s="52"/>
      <c r="CM95" s="52"/>
      <c r="CN95" s="52"/>
      <c r="CO95" s="52"/>
      <c r="CP95" s="51"/>
      <c r="CQ95" s="51"/>
      <c r="CR95" s="51"/>
      <c r="CS95" s="51"/>
      <c r="CT95" s="51"/>
    </row>
    <row r="96" ht="21.0" customHeight="1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50"/>
      <c r="AG96" s="51"/>
      <c r="AH96" s="52"/>
      <c r="AI96" s="52"/>
      <c r="AJ96" s="52"/>
      <c r="AK96" s="52"/>
      <c r="AL96" s="52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2"/>
      <c r="CJ96" s="52"/>
      <c r="CK96" s="52"/>
      <c r="CL96" s="52"/>
      <c r="CM96" s="52"/>
      <c r="CN96" s="52"/>
      <c r="CO96" s="52"/>
      <c r="CP96" s="51"/>
      <c r="CQ96" s="51"/>
      <c r="CR96" s="51"/>
      <c r="CS96" s="51"/>
      <c r="CT96" s="51"/>
    </row>
    <row r="97" ht="21.0" customHeight="1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50"/>
      <c r="AG97" s="51"/>
      <c r="AH97" s="52"/>
      <c r="AI97" s="52"/>
      <c r="AJ97" s="52"/>
      <c r="AK97" s="52"/>
      <c r="AL97" s="52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2"/>
      <c r="CJ97" s="52"/>
      <c r="CK97" s="52"/>
      <c r="CL97" s="52"/>
      <c r="CM97" s="52"/>
      <c r="CN97" s="52"/>
      <c r="CO97" s="52"/>
      <c r="CP97" s="51"/>
      <c r="CQ97" s="51"/>
      <c r="CR97" s="51"/>
      <c r="CS97" s="51"/>
      <c r="CT97" s="51"/>
    </row>
    <row r="98" ht="21.0" customHeight="1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50"/>
      <c r="AG98" s="51"/>
      <c r="AH98" s="52"/>
      <c r="AI98" s="52"/>
      <c r="AJ98" s="52"/>
      <c r="AK98" s="52"/>
      <c r="AL98" s="52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  <c r="BI98" s="54"/>
      <c r="BJ98" s="54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2"/>
      <c r="CJ98" s="52"/>
      <c r="CK98" s="52"/>
      <c r="CL98" s="52"/>
      <c r="CM98" s="52"/>
      <c r="CN98" s="52"/>
      <c r="CO98" s="52"/>
      <c r="CP98" s="51"/>
      <c r="CQ98" s="51"/>
      <c r="CR98" s="51"/>
      <c r="CS98" s="51"/>
      <c r="CT98" s="51"/>
    </row>
    <row r="99" ht="21.0" customHeight="1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50"/>
      <c r="AG99" s="51"/>
      <c r="AH99" s="52"/>
      <c r="AI99" s="52"/>
      <c r="AJ99" s="52"/>
      <c r="AK99" s="52"/>
      <c r="AL99" s="52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2"/>
      <c r="CJ99" s="52"/>
      <c r="CK99" s="52"/>
      <c r="CL99" s="52"/>
      <c r="CM99" s="52"/>
      <c r="CN99" s="52"/>
      <c r="CO99" s="52"/>
      <c r="CP99" s="51"/>
      <c r="CQ99" s="51"/>
      <c r="CR99" s="51"/>
      <c r="CS99" s="51"/>
      <c r="CT99" s="51"/>
    </row>
    <row r="100" ht="21.0" customHeight="1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50"/>
      <c r="AG100" s="51"/>
      <c r="AH100" s="52"/>
      <c r="AI100" s="52"/>
      <c r="AJ100" s="52"/>
      <c r="AK100" s="52"/>
      <c r="AL100" s="52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2"/>
      <c r="CJ100" s="52"/>
      <c r="CK100" s="52"/>
      <c r="CL100" s="52"/>
      <c r="CM100" s="52"/>
      <c r="CN100" s="52"/>
      <c r="CO100" s="52"/>
      <c r="CP100" s="51"/>
      <c r="CQ100" s="51"/>
      <c r="CR100" s="51"/>
      <c r="CS100" s="51"/>
      <c r="CT100" s="51"/>
    </row>
    <row r="101" ht="21.0" customHeight="1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50"/>
      <c r="AG101" s="51"/>
      <c r="AH101" s="52"/>
      <c r="AI101" s="52"/>
      <c r="AJ101" s="52"/>
      <c r="AK101" s="52"/>
      <c r="AL101" s="52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2"/>
      <c r="CJ101" s="52"/>
      <c r="CK101" s="52"/>
      <c r="CL101" s="52"/>
      <c r="CM101" s="52"/>
      <c r="CN101" s="52"/>
      <c r="CO101" s="52"/>
      <c r="CP101" s="51"/>
      <c r="CQ101" s="51"/>
      <c r="CR101" s="51"/>
      <c r="CS101" s="51"/>
      <c r="CT101" s="51"/>
    </row>
    <row r="102" ht="21.0" customHeight="1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50"/>
      <c r="AG102" s="51"/>
      <c r="AH102" s="52"/>
      <c r="AI102" s="52"/>
      <c r="AJ102" s="52"/>
      <c r="AK102" s="52"/>
      <c r="AL102" s="52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2"/>
      <c r="CJ102" s="52"/>
      <c r="CK102" s="52"/>
      <c r="CL102" s="52"/>
      <c r="CM102" s="52"/>
      <c r="CN102" s="52"/>
      <c r="CO102" s="52"/>
      <c r="CP102" s="51"/>
      <c r="CQ102" s="51"/>
      <c r="CR102" s="51"/>
      <c r="CS102" s="51"/>
      <c r="CT102" s="51"/>
    </row>
    <row r="103" ht="21.0" customHeight="1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50"/>
      <c r="AG103" s="51"/>
      <c r="AH103" s="52"/>
      <c r="AI103" s="52"/>
      <c r="AJ103" s="52"/>
      <c r="AK103" s="52"/>
      <c r="AL103" s="52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2"/>
      <c r="CJ103" s="52"/>
      <c r="CK103" s="52"/>
      <c r="CL103" s="52"/>
      <c r="CM103" s="52"/>
      <c r="CN103" s="52"/>
      <c r="CO103" s="52"/>
      <c r="CP103" s="51"/>
      <c r="CQ103" s="51"/>
      <c r="CR103" s="51"/>
      <c r="CS103" s="51"/>
      <c r="CT103" s="51"/>
    </row>
    <row r="104" ht="21.0" customHeight="1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50"/>
      <c r="AG104" s="51"/>
      <c r="AH104" s="52"/>
      <c r="AI104" s="52"/>
      <c r="AJ104" s="52"/>
      <c r="AK104" s="52"/>
      <c r="AL104" s="52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  <c r="BI104" s="54"/>
      <c r="BJ104" s="54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2"/>
      <c r="CJ104" s="52"/>
      <c r="CK104" s="52"/>
      <c r="CL104" s="52"/>
      <c r="CM104" s="52"/>
      <c r="CN104" s="52"/>
      <c r="CO104" s="52"/>
      <c r="CP104" s="51"/>
      <c r="CQ104" s="51"/>
      <c r="CR104" s="51"/>
      <c r="CS104" s="51"/>
      <c r="CT104" s="51"/>
    </row>
    <row r="105" ht="21.0" customHeight="1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50"/>
      <c r="AG105" s="51"/>
      <c r="AH105" s="52"/>
      <c r="AI105" s="52"/>
      <c r="AJ105" s="52"/>
      <c r="AK105" s="52"/>
      <c r="AL105" s="52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4"/>
      <c r="AX105" s="54"/>
      <c r="AY105" s="54"/>
      <c r="AZ105" s="54"/>
      <c r="BA105" s="54"/>
      <c r="BB105" s="54"/>
      <c r="BC105" s="54"/>
      <c r="BD105" s="54"/>
      <c r="BE105" s="54"/>
      <c r="BF105" s="54"/>
      <c r="BG105" s="54"/>
      <c r="BH105" s="54"/>
      <c r="BI105" s="54"/>
      <c r="BJ105" s="54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2"/>
      <c r="CJ105" s="52"/>
      <c r="CK105" s="52"/>
      <c r="CL105" s="52"/>
      <c r="CM105" s="52"/>
      <c r="CN105" s="52"/>
      <c r="CO105" s="52"/>
      <c r="CP105" s="51"/>
      <c r="CQ105" s="51"/>
      <c r="CR105" s="51"/>
      <c r="CS105" s="51"/>
      <c r="CT105" s="51"/>
    </row>
    <row r="106" ht="21.0" customHeight="1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50"/>
      <c r="AG106" s="51"/>
      <c r="AH106" s="52"/>
      <c r="AI106" s="52"/>
      <c r="AJ106" s="52"/>
      <c r="AK106" s="52"/>
      <c r="AL106" s="52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4"/>
      <c r="AX106" s="54"/>
      <c r="AY106" s="54"/>
      <c r="AZ106" s="54"/>
      <c r="BA106" s="54"/>
      <c r="BB106" s="54"/>
      <c r="BC106" s="54"/>
      <c r="BD106" s="54"/>
      <c r="BE106" s="54"/>
      <c r="BF106" s="54"/>
      <c r="BG106" s="54"/>
      <c r="BH106" s="54"/>
      <c r="BI106" s="54"/>
      <c r="BJ106" s="54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2"/>
      <c r="CJ106" s="52"/>
      <c r="CK106" s="52"/>
      <c r="CL106" s="52"/>
      <c r="CM106" s="52"/>
      <c r="CN106" s="52"/>
      <c r="CO106" s="52"/>
      <c r="CP106" s="51"/>
      <c r="CQ106" s="51"/>
      <c r="CR106" s="51"/>
      <c r="CS106" s="51"/>
      <c r="CT106" s="51"/>
    </row>
    <row r="107" ht="21.0" customHeight="1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50"/>
      <c r="AG107" s="51"/>
      <c r="AH107" s="52"/>
      <c r="AI107" s="52"/>
      <c r="AJ107" s="52"/>
      <c r="AK107" s="52"/>
      <c r="AL107" s="52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4"/>
      <c r="AX107" s="54"/>
      <c r="AY107" s="54"/>
      <c r="AZ107" s="54"/>
      <c r="BA107" s="54"/>
      <c r="BB107" s="54"/>
      <c r="BC107" s="54"/>
      <c r="BD107" s="54"/>
      <c r="BE107" s="54"/>
      <c r="BF107" s="54"/>
      <c r="BG107" s="54"/>
      <c r="BH107" s="54"/>
      <c r="BI107" s="54"/>
      <c r="BJ107" s="54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2"/>
      <c r="CJ107" s="52"/>
      <c r="CK107" s="52"/>
      <c r="CL107" s="52"/>
      <c r="CM107" s="52"/>
      <c r="CN107" s="52"/>
      <c r="CO107" s="52"/>
      <c r="CP107" s="51"/>
      <c r="CQ107" s="51"/>
      <c r="CR107" s="51"/>
      <c r="CS107" s="51"/>
      <c r="CT107" s="51"/>
    </row>
    <row r="108" ht="21.0" customHeight="1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50"/>
      <c r="AG108" s="51"/>
      <c r="AH108" s="52"/>
      <c r="AI108" s="52"/>
      <c r="AJ108" s="52"/>
      <c r="AK108" s="52"/>
      <c r="AL108" s="52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  <c r="BI108" s="54"/>
      <c r="BJ108" s="54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2"/>
      <c r="CJ108" s="52"/>
      <c r="CK108" s="52"/>
      <c r="CL108" s="52"/>
      <c r="CM108" s="52"/>
      <c r="CN108" s="52"/>
      <c r="CO108" s="52"/>
      <c r="CP108" s="51"/>
      <c r="CQ108" s="51"/>
      <c r="CR108" s="51"/>
      <c r="CS108" s="51"/>
      <c r="CT108" s="51"/>
    </row>
    <row r="109" ht="21.0" customHeight="1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50"/>
      <c r="AG109" s="51"/>
      <c r="AH109" s="52"/>
      <c r="AI109" s="52"/>
      <c r="AJ109" s="52"/>
      <c r="AK109" s="52"/>
      <c r="AL109" s="52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  <c r="BI109" s="54"/>
      <c r="BJ109" s="54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2"/>
      <c r="CJ109" s="52"/>
      <c r="CK109" s="52"/>
      <c r="CL109" s="52"/>
      <c r="CM109" s="52"/>
      <c r="CN109" s="52"/>
      <c r="CO109" s="52"/>
      <c r="CP109" s="51"/>
      <c r="CQ109" s="51"/>
      <c r="CR109" s="51"/>
      <c r="CS109" s="51"/>
      <c r="CT109" s="51"/>
    </row>
    <row r="110" ht="21.0" customHeight="1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50"/>
      <c r="AG110" s="51"/>
      <c r="AH110" s="52"/>
      <c r="AI110" s="52"/>
      <c r="AJ110" s="52"/>
      <c r="AK110" s="52"/>
      <c r="AL110" s="52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4"/>
      <c r="AX110" s="54"/>
      <c r="AY110" s="54"/>
      <c r="AZ110" s="54"/>
      <c r="BA110" s="54"/>
      <c r="BB110" s="54"/>
      <c r="BC110" s="54"/>
      <c r="BD110" s="54"/>
      <c r="BE110" s="54"/>
      <c r="BF110" s="54"/>
      <c r="BG110" s="54"/>
      <c r="BH110" s="54"/>
      <c r="BI110" s="54"/>
      <c r="BJ110" s="54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2"/>
      <c r="CJ110" s="52"/>
      <c r="CK110" s="52"/>
      <c r="CL110" s="52"/>
      <c r="CM110" s="52"/>
      <c r="CN110" s="52"/>
      <c r="CO110" s="52"/>
      <c r="CP110" s="51"/>
      <c r="CQ110" s="51"/>
      <c r="CR110" s="51"/>
      <c r="CS110" s="51"/>
      <c r="CT110" s="51"/>
    </row>
    <row r="111" ht="21.0" customHeight="1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50"/>
      <c r="AG111" s="51"/>
      <c r="AH111" s="52"/>
      <c r="AI111" s="52"/>
      <c r="AJ111" s="52"/>
      <c r="AK111" s="52"/>
      <c r="AL111" s="52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4"/>
      <c r="AX111" s="54"/>
      <c r="AY111" s="54"/>
      <c r="AZ111" s="54"/>
      <c r="BA111" s="54"/>
      <c r="BB111" s="54"/>
      <c r="BC111" s="54"/>
      <c r="BD111" s="54"/>
      <c r="BE111" s="54"/>
      <c r="BF111" s="54"/>
      <c r="BG111" s="54"/>
      <c r="BH111" s="54"/>
      <c r="BI111" s="54"/>
      <c r="BJ111" s="54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2"/>
      <c r="CJ111" s="52"/>
      <c r="CK111" s="52"/>
      <c r="CL111" s="52"/>
      <c r="CM111" s="52"/>
      <c r="CN111" s="52"/>
      <c r="CO111" s="52"/>
      <c r="CP111" s="51"/>
      <c r="CQ111" s="51"/>
      <c r="CR111" s="51"/>
      <c r="CS111" s="51"/>
      <c r="CT111" s="51"/>
    </row>
    <row r="112" ht="21.0" customHeight="1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50"/>
      <c r="AG112" s="51"/>
      <c r="AH112" s="52"/>
      <c r="AI112" s="52"/>
      <c r="AJ112" s="52"/>
      <c r="AK112" s="52"/>
      <c r="AL112" s="52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4"/>
      <c r="AX112" s="54"/>
      <c r="AY112" s="54"/>
      <c r="AZ112" s="54"/>
      <c r="BA112" s="54"/>
      <c r="BB112" s="54"/>
      <c r="BC112" s="54"/>
      <c r="BD112" s="54"/>
      <c r="BE112" s="54"/>
      <c r="BF112" s="54"/>
      <c r="BG112" s="54"/>
      <c r="BH112" s="54"/>
      <c r="BI112" s="54"/>
      <c r="BJ112" s="54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2"/>
      <c r="CJ112" s="52"/>
      <c r="CK112" s="52"/>
      <c r="CL112" s="52"/>
      <c r="CM112" s="52"/>
      <c r="CN112" s="52"/>
      <c r="CO112" s="52"/>
      <c r="CP112" s="51"/>
      <c r="CQ112" s="51"/>
      <c r="CR112" s="51"/>
      <c r="CS112" s="51"/>
      <c r="CT112" s="51"/>
    </row>
    <row r="113" ht="21.0" customHeight="1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50"/>
      <c r="AG113" s="51"/>
      <c r="AH113" s="52"/>
      <c r="AI113" s="52"/>
      <c r="AJ113" s="52"/>
      <c r="AK113" s="52"/>
      <c r="AL113" s="52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4"/>
      <c r="AX113" s="54"/>
      <c r="AY113" s="54"/>
      <c r="AZ113" s="54"/>
      <c r="BA113" s="54"/>
      <c r="BB113" s="54"/>
      <c r="BC113" s="54"/>
      <c r="BD113" s="54"/>
      <c r="BE113" s="54"/>
      <c r="BF113" s="54"/>
      <c r="BG113" s="54"/>
      <c r="BH113" s="54"/>
      <c r="BI113" s="54"/>
      <c r="BJ113" s="54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2"/>
      <c r="CJ113" s="52"/>
      <c r="CK113" s="52"/>
      <c r="CL113" s="52"/>
      <c r="CM113" s="52"/>
      <c r="CN113" s="52"/>
      <c r="CO113" s="52"/>
      <c r="CP113" s="51"/>
      <c r="CQ113" s="51"/>
      <c r="CR113" s="51"/>
      <c r="CS113" s="51"/>
      <c r="CT113" s="51"/>
    </row>
    <row r="114" ht="21.0" customHeight="1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50"/>
      <c r="AG114" s="51"/>
      <c r="AH114" s="52"/>
      <c r="AI114" s="52"/>
      <c r="AJ114" s="52"/>
      <c r="AK114" s="52"/>
      <c r="AL114" s="52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  <c r="BI114" s="54"/>
      <c r="BJ114" s="54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2"/>
      <c r="CJ114" s="52"/>
      <c r="CK114" s="52"/>
      <c r="CL114" s="52"/>
      <c r="CM114" s="52"/>
      <c r="CN114" s="52"/>
      <c r="CO114" s="52"/>
      <c r="CP114" s="51"/>
      <c r="CQ114" s="51"/>
      <c r="CR114" s="51"/>
      <c r="CS114" s="51"/>
      <c r="CT114" s="51"/>
    </row>
    <row r="115" ht="21.0" customHeight="1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50"/>
      <c r="AG115" s="51"/>
      <c r="AH115" s="52"/>
      <c r="AI115" s="52"/>
      <c r="AJ115" s="52"/>
      <c r="AK115" s="52"/>
      <c r="AL115" s="52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  <c r="BI115" s="54"/>
      <c r="BJ115" s="54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2"/>
      <c r="CJ115" s="52"/>
      <c r="CK115" s="52"/>
      <c r="CL115" s="52"/>
      <c r="CM115" s="52"/>
      <c r="CN115" s="52"/>
      <c r="CO115" s="52"/>
      <c r="CP115" s="51"/>
      <c r="CQ115" s="51"/>
      <c r="CR115" s="51"/>
      <c r="CS115" s="51"/>
      <c r="CT115" s="51"/>
    </row>
    <row r="116" ht="21.0" customHeight="1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50"/>
      <c r="AG116" s="51"/>
      <c r="AH116" s="52"/>
      <c r="AI116" s="52"/>
      <c r="AJ116" s="52"/>
      <c r="AK116" s="52"/>
      <c r="AL116" s="52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4"/>
      <c r="AX116" s="54"/>
      <c r="AY116" s="54"/>
      <c r="AZ116" s="54"/>
      <c r="BA116" s="54"/>
      <c r="BB116" s="54"/>
      <c r="BC116" s="54"/>
      <c r="BD116" s="54"/>
      <c r="BE116" s="54"/>
      <c r="BF116" s="54"/>
      <c r="BG116" s="54"/>
      <c r="BH116" s="54"/>
      <c r="BI116" s="54"/>
      <c r="BJ116" s="54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2"/>
      <c r="CJ116" s="52"/>
      <c r="CK116" s="52"/>
      <c r="CL116" s="52"/>
      <c r="CM116" s="52"/>
      <c r="CN116" s="52"/>
      <c r="CO116" s="52"/>
      <c r="CP116" s="51"/>
      <c r="CQ116" s="51"/>
      <c r="CR116" s="51"/>
      <c r="CS116" s="51"/>
      <c r="CT116" s="51"/>
    </row>
    <row r="117" ht="21.0" customHeight="1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50"/>
      <c r="AG117" s="51"/>
      <c r="AH117" s="52"/>
      <c r="AI117" s="52"/>
      <c r="AJ117" s="52"/>
      <c r="AK117" s="52"/>
      <c r="AL117" s="52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4"/>
      <c r="AX117" s="54"/>
      <c r="AY117" s="54"/>
      <c r="AZ117" s="54"/>
      <c r="BA117" s="54"/>
      <c r="BB117" s="54"/>
      <c r="BC117" s="54"/>
      <c r="BD117" s="54"/>
      <c r="BE117" s="54"/>
      <c r="BF117" s="54"/>
      <c r="BG117" s="54"/>
      <c r="BH117" s="54"/>
      <c r="BI117" s="54"/>
      <c r="BJ117" s="54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2"/>
      <c r="CJ117" s="52"/>
      <c r="CK117" s="52"/>
      <c r="CL117" s="52"/>
      <c r="CM117" s="52"/>
      <c r="CN117" s="52"/>
      <c r="CO117" s="52"/>
      <c r="CP117" s="51"/>
      <c r="CQ117" s="51"/>
      <c r="CR117" s="51"/>
      <c r="CS117" s="51"/>
      <c r="CT117" s="51"/>
    </row>
    <row r="118" ht="21.0" customHeight="1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50"/>
      <c r="AG118" s="51"/>
      <c r="AH118" s="52"/>
      <c r="AI118" s="52"/>
      <c r="AJ118" s="52"/>
      <c r="AK118" s="52"/>
      <c r="AL118" s="52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4"/>
      <c r="AX118" s="54"/>
      <c r="AY118" s="54"/>
      <c r="AZ118" s="54"/>
      <c r="BA118" s="54"/>
      <c r="BB118" s="54"/>
      <c r="BC118" s="54"/>
      <c r="BD118" s="54"/>
      <c r="BE118" s="54"/>
      <c r="BF118" s="54"/>
      <c r="BG118" s="54"/>
      <c r="BH118" s="54"/>
      <c r="BI118" s="54"/>
      <c r="BJ118" s="54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2"/>
      <c r="CJ118" s="52"/>
      <c r="CK118" s="52"/>
      <c r="CL118" s="52"/>
      <c r="CM118" s="52"/>
      <c r="CN118" s="52"/>
      <c r="CO118" s="52"/>
      <c r="CP118" s="51"/>
      <c r="CQ118" s="51"/>
      <c r="CR118" s="51"/>
      <c r="CS118" s="51"/>
      <c r="CT118" s="51"/>
    </row>
    <row r="119" ht="21.0" customHeight="1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50"/>
      <c r="AG119" s="51"/>
      <c r="AH119" s="52"/>
      <c r="AI119" s="52"/>
      <c r="AJ119" s="52"/>
      <c r="AK119" s="52"/>
      <c r="AL119" s="52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4"/>
      <c r="AX119" s="54"/>
      <c r="AY119" s="54"/>
      <c r="AZ119" s="54"/>
      <c r="BA119" s="54"/>
      <c r="BB119" s="54"/>
      <c r="BC119" s="54"/>
      <c r="BD119" s="54"/>
      <c r="BE119" s="54"/>
      <c r="BF119" s="54"/>
      <c r="BG119" s="54"/>
      <c r="BH119" s="54"/>
      <c r="BI119" s="54"/>
      <c r="BJ119" s="54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2"/>
      <c r="CJ119" s="52"/>
      <c r="CK119" s="52"/>
      <c r="CL119" s="52"/>
      <c r="CM119" s="52"/>
      <c r="CN119" s="52"/>
      <c r="CO119" s="52"/>
      <c r="CP119" s="51"/>
      <c r="CQ119" s="51"/>
      <c r="CR119" s="51"/>
      <c r="CS119" s="51"/>
      <c r="CT119" s="51"/>
    </row>
    <row r="120" ht="21.0" customHeight="1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50"/>
      <c r="AG120" s="51"/>
      <c r="AH120" s="52"/>
      <c r="AI120" s="52"/>
      <c r="AJ120" s="52"/>
      <c r="AK120" s="52"/>
      <c r="AL120" s="52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4"/>
      <c r="AX120" s="54"/>
      <c r="AY120" s="54"/>
      <c r="AZ120" s="54"/>
      <c r="BA120" s="54"/>
      <c r="BB120" s="54"/>
      <c r="BC120" s="54"/>
      <c r="BD120" s="54"/>
      <c r="BE120" s="54"/>
      <c r="BF120" s="54"/>
      <c r="BG120" s="54"/>
      <c r="BH120" s="54"/>
      <c r="BI120" s="54"/>
      <c r="BJ120" s="54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2"/>
      <c r="CJ120" s="52"/>
      <c r="CK120" s="52"/>
      <c r="CL120" s="52"/>
      <c r="CM120" s="52"/>
      <c r="CN120" s="52"/>
      <c r="CO120" s="52"/>
      <c r="CP120" s="51"/>
      <c r="CQ120" s="51"/>
      <c r="CR120" s="51"/>
      <c r="CS120" s="51"/>
      <c r="CT120" s="51"/>
    </row>
    <row r="121" ht="21.0" customHeight="1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50"/>
      <c r="AG121" s="51"/>
      <c r="AH121" s="52"/>
      <c r="AI121" s="52"/>
      <c r="AJ121" s="52"/>
      <c r="AK121" s="52"/>
      <c r="AL121" s="52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  <c r="BI121" s="54"/>
      <c r="BJ121" s="54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2"/>
      <c r="CJ121" s="52"/>
      <c r="CK121" s="52"/>
      <c r="CL121" s="52"/>
      <c r="CM121" s="52"/>
      <c r="CN121" s="52"/>
      <c r="CO121" s="52"/>
      <c r="CP121" s="51"/>
      <c r="CQ121" s="51"/>
      <c r="CR121" s="51"/>
      <c r="CS121" s="51"/>
      <c r="CT121" s="51"/>
    </row>
    <row r="122" ht="21.0" customHeight="1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50"/>
      <c r="AG122" s="51"/>
      <c r="AH122" s="52"/>
      <c r="AI122" s="52"/>
      <c r="AJ122" s="52"/>
      <c r="AK122" s="52"/>
      <c r="AL122" s="52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4"/>
      <c r="AX122" s="54"/>
      <c r="AY122" s="54"/>
      <c r="AZ122" s="54"/>
      <c r="BA122" s="54"/>
      <c r="BB122" s="54"/>
      <c r="BC122" s="54"/>
      <c r="BD122" s="54"/>
      <c r="BE122" s="54"/>
      <c r="BF122" s="54"/>
      <c r="BG122" s="54"/>
      <c r="BH122" s="54"/>
      <c r="BI122" s="54"/>
      <c r="BJ122" s="54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2"/>
      <c r="CJ122" s="52"/>
      <c r="CK122" s="52"/>
      <c r="CL122" s="52"/>
      <c r="CM122" s="52"/>
      <c r="CN122" s="52"/>
      <c r="CO122" s="52"/>
      <c r="CP122" s="51"/>
      <c r="CQ122" s="51"/>
      <c r="CR122" s="51"/>
      <c r="CS122" s="51"/>
      <c r="CT122" s="51"/>
    </row>
    <row r="123" ht="21.0" customHeight="1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50"/>
      <c r="AG123" s="51"/>
      <c r="AH123" s="52"/>
      <c r="AI123" s="52"/>
      <c r="AJ123" s="52"/>
      <c r="AK123" s="52"/>
      <c r="AL123" s="52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4"/>
      <c r="AX123" s="54"/>
      <c r="AY123" s="54"/>
      <c r="AZ123" s="54"/>
      <c r="BA123" s="54"/>
      <c r="BB123" s="54"/>
      <c r="BC123" s="54"/>
      <c r="BD123" s="54"/>
      <c r="BE123" s="54"/>
      <c r="BF123" s="54"/>
      <c r="BG123" s="54"/>
      <c r="BH123" s="54"/>
      <c r="BI123" s="54"/>
      <c r="BJ123" s="54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2"/>
      <c r="CJ123" s="52"/>
      <c r="CK123" s="52"/>
      <c r="CL123" s="52"/>
      <c r="CM123" s="52"/>
      <c r="CN123" s="52"/>
      <c r="CO123" s="52"/>
      <c r="CP123" s="51"/>
      <c r="CQ123" s="51"/>
      <c r="CR123" s="51"/>
      <c r="CS123" s="51"/>
      <c r="CT123" s="51"/>
    </row>
    <row r="124" ht="21.0" customHeight="1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50"/>
      <c r="AG124" s="51"/>
      <c r="AH124" s="52"/>
      <c r="AI124" s="52"/>
      <c r="AJ124" s="52"/>
      <c r="AK124" s="52"/>
      <c r="AL124" s="52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4"/>
      <c r="AX124" s="54"/>
      <c r="AY124" s="54"/>
      <c r="AZ124" s="54"/>
      <c r="BA124" s="54"/>
      <c r="BB124" s="54"/>
      <c r="BC124" s="54"/>
      <c r="BD124" s="54"/>
      <c r="BE124" s="54"/>
      <c r="BF124" s="54"/>
      <c r="BG124" s="54"/>
      <c r="BH124" s="54"/>
      <c r="BI124" s="54"/>
      <c r="BJ124" s="54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2"/>
      <c r="CJ124" s="52"/>
      <c r="CK124" s="52"/>
      <c r="CL124" s="52"/>
      <c r="CM124" s="52"/>
      <c r="CN124" s="52"/>
      <c r="CO124" s="52"/>
      <c r="CP124" s="51"/>
      <c r="CQ124" s="51"/>
      <c r="CR124" s="51"/>
      <c r="CS124" s="51"/>
      <c r="CT124" s="51"/>
    </row>
    <row r="125" ht="21.0" customHeight="1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50"/>
      <c r="AG125" s="51"/>
      <c r="AH125" s="52"/>
      <c r="AI125" s="52"/>
      <c r="AJ125" s="52"/>
      <c r="AK125" s="52"/>
      <c r="AL125" s="52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4"/>
      <c r="AX125" s="54"/>
      <c r="AY125" s="54"/>
      <c r="AZ125" s="54"/>
      <c r="BA125" s="54"/>
      <c r="BB125" s="54"/>
      <c r="BC125" s="54"/>
      <c r="BD125" s="54"/>
      <c r="BE125" s="54"/>
      <c r="BF125" s="54"/>
      <c r="BG125" s="54"/>
      <c r="BH125" s="54"/>
      <c r="BI125" s="54"/>
      <c r="BJ125" s="54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2"/>
      <c r="CJ125" s="52"/>
      <c r="CK125" s="52"/>
      <c r="CL125" s="52"/>
      <c r="CM125" s="52"/>
      <c r="CN125" s="52"/>
      <c r="CO125" s="52"/>
      <c r="CP125" s="51"/>
      <c r="CQ125" s="51"/>
      <c r="CR125" s="51"/>
      <c r="CS125" s="51"/>
      <c r="CT125" s="51"/>
    </row>
    <row r="126" ht="21.0" customHeight="1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50"/>
      <c r="AG126" s="51"/>
      <c r="AH126" s="52"/>
      <c r="AI126" s="52"/>
      <c r="AJ126" s="52"/>
      <c r="AK126" s="52"/>
      <c r="AL126" s="52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4"/>
      <c r="AX126" s="54"/>
      <c r="AY126" s="54"/>
      <c r="AZ126" s="54"/>
      <c r="BA126" s="54"/>
      <c r="BB126" s="54"/>
      <c r="BC126" s="54"/>
      <c r="BD126" s="54"/>
      <c r="BE126" s="54"/>
      <c r="BF126" s="54"/>
      <c r="BG126" s="54"/>
      <c r="BH126" s="54"/>
      <c r="BI126" s="54"/>
      <c r="BJ126" s="54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2"/>
      <c r="CJ126" s="52"/>
      <c r="CK126" s="52"/>
      <c r="CL126" s="52"/>
      <c r="CM126" s="52"/>
      <c r="CN126" s="52"/>
      <c r="CO126" s="52"/>
      <c r="CP126" s="51"/>
      <c r="CQ126" s="51"/>
      <c r="CR126" s="51"/>
      <c r="CS126" s="51"/>
      <c r="CT126" s="51"/>
    </row>
    <row r="127" ht="21.0" customHeight="1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50"/>
      <c r="AG127" s="51"/>
      <c r="AH127" s="52"/>
      <c r="AI127" s="52"/>
      <c r="AJ127" s="52"/>
      <c r="AK127" s="52"/>
      <c r="AL127" s="52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4"/>
      <c r="AX127" s="54"/>
      <c r="AY127" s="54"/>
      <c r="AZ127" s="54"/>
      <c r="BA127" s="54"/>
      <c r="BB127" s="54"/>
      <c r="BC127" s="54"/>
      <c r="BD127" s="54"/>
      <c r="BE127" s="54"/>
      <c r="BF127" s="54"/>
      <c r="BG127" s="54"/>
      <c r="BH127" s="54"/>
      <c r="BI127" s="54"/>
      <c r="BJ127" s="54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2"/>
      <c r="CJ127" s="52"/>
      <c r="CK127" s="52"/>
      <c r="CL127" s="52"/>
      <c r="CM127" s="52"/>
      <c r="CN127" s="52"/>
      <c r="CO127" s="52"/>
      <c r="CP127" s="51"/>
      <c r="CQ127" s="51"/>
      <c r="CR127" s="51"/>
      <c r="CS127" s="51"/>
      <c r="CT127" s="51"/>
    </row>
    <row r="128" ht="21.0" customHeight="1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50"/>
      <c r="AG128" s="51"/>
      <c r="AH128" s="52"/>
      <c r="AI128" s="52"/>
      <c r="AJ128" s="52"/>
      <c r="AK128" s="52"/>
      <c r="AL128" s="52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4"/>
      <c r="AX128" s="54"/>
      <c r="AY128" s="54"/>
      <c r="AZ128" s="54"/>
      <c r="BA128" s="54"/>
      <c r="BB128" s="54"/>
      <c r="BC128" s="54"/>
      <c r="BD128" s="54"/>
      <c r="BE128" s="54"/>
      <c r="BF128" s="54"/>
      <c r="BG128" s="54"/>
      <c r="BH128" s="54"/>
      <c r="BI128" s="54"/>
      <c r="BJ128" s="54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2"/>
      <c r="CJ128" s="52"/>
      <c r="CK128" s="52"/>
      <c r="CL128" s="52"/>
      <c r="CM128" s="52"/>
      <c r="CN128" s="52"/>
      <c r="CO128" s="52"/>
      <c r="CP128" s="51"/>
      <c r="CQ128" s="51"/>
      <c r="CR128" s="51"/>
      <c r="CS128" s="51"/>
      <c r="CT128" s="51"/>
    </row>
    <row r="129" ht="21.0" customHeight="1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50"/>
      <c r="AG129" s="51"/>
      <c r="AH129" s="52"/>
      <c r="AI129" s="52"/>
      <c r="AJ129" s="52"/>
      <c r="AK129" s="52"/>
      <c r="AL129" s="52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4"/>
      <c r="AX129" s="54"/>
      <c r="AY129" s="54"/>
      <c r="AZ129" s="54"/>
      <c r="BA129" s="54"/>
      <c r="BB129" s="54"/>
      <c r="BC129" s="54"/>
      <c r="BD129" s="54"/>
      <c r="BE129" s="54"/>
      <c r="BF129" s="54"/>
      <c r="BG129" s="54"/>
      <c r="BH129" s="54"/>
      <c r="BI129" s="54"/>
      <c r="BJ129" s="54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2"/>
      <c r="CJ129" s="52"/>
      <c r="CK129" s="52"/>
      <c r="CL129" s="52"/>
      <c r="CM129" s="52"/>
      <c r="CN129" s="52"/>
      <c r="CO129" s="52"/>
      <c r="CP129" s="51"/>
      <c r="CQ129" s="51"/>
      <c r="CR129" s="51"/>
      <c r="CS129" s="51"/>
      <c r="CT129" s="51"/>
    </row>
    <row r="130" ht="21.0" customHeight="1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50"/>
      <c r="AG130" s="51"/>
      <c r="AH130" s="52"/>
      <c r="AI130" s="52"/>
      <c r="AJ130" s="52"/>
      <c r="AK130" s="52"/>
      <c r="AL130" s="52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4"/>
      <c r="AX130" s="54"/>
      <c r="AY130" s="54"/>
      <c r="AZ130" s="54"/>
      <c r="BA130" s="54"/>
      <c r="BB130" s="54"/>
      <c r="BC130" s="54"/>
      <c r="BD130" s="54"/>
      <c r="BE130" s="54"/>
      <c r="BF130" s="54"/>
      <c r="BG130" s="54"/>
      <c r="BH130" s="54"/>
      <c r="BI130" s="54"/>
      <c r="BJ130" s="54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2"/>
      <c r="CJ130" s="52"/>
      <c r="CK130" s="52"/>
      <c r="CL130" s="52"/>
      <c r="CM130" s="52"/>
      <c r="CN130" s="52"/>
      <c r="CO130" s="52"/>
      <c r="CP130" s="51"/>
      <c r="CQ130" s="51"/>
      <c r="CR130" s="51"/>
      <c r="CS130" s="51"/>
      <c r="CT130" s="51"/>
    </row>
    <row r="131" ht="21.0" customHeight="1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50"/>
      <c r="AG131" s="51"/>
      <c r="AH131" s="52"/>
      <c r="AI131" s="52"/>
      <c r="AJ131" s="52"/>
      <c r="AK131" s="52"/>
      <c r="AL131" s="52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4"/>
      <c r="AX131" s="54"/>
      <c r="AY131" s="54"/>
      <c r="AZ131" s="54"/>
      <c r="BA131" s="54"/>
      <c r="BB131" s="54"/>
      <c r="BC131" s="54"/>
      <c r="BD131" s="54"/>
      <c r="BE131" s="54"/>
      <c r="BF131" s="54"/>
      <c r="BG131" s="54"/>
      <c r="BH131" s="54"/>
      <c r="BI131" s="54"/>
      <c r="BJ131" s="54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2"/>
      <c r="CJ131" s="52"/>
      <c r="CK131" s="52"/>
      <c r="CL131" s="52"/>
      <c r="CM131" s="52"/>
      <c r="CN131" s="52"/>
      <c r="CO131" s="52"/>
      <c r="CP131" s="51"/>
      <c r="CQ131" s="51"/>
      <c r="CR131" s="51"/>
      <c r="CS131" s="51"/>
      <c r="CT131" s="51"/>
    </row>
    <row r="132" ht="21.0" customHeight="1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50"/>
      <c r="AG132" s="51"/>
      <c r="AH132" s="52"/>
      <c r="AI132" s="52"/>
      <c r="AJ132" s="52"/>
      <c r="AK132" s="52"/>
      <c r="AL132" s="52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  <c r="BI132" s="54"/>
      <c r="BJ132" s="54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2"/>
      <c r="CJ132" s="52"/>
      <c r="CK132" s="52"/>
      <c r="CL132" s="52"/>
      <c r="CM132" s="52"/>
      <c r="CN132" s="52"/>
      <c r="CO132" s="52"/>
      <c r="CP132" s="51"/>
      <c r="CQ132" s="51"/>
      <c r="CR132" s="51"/>
      <c r="CS132" s="51"/>
      <c r="CT132" s="51"/>
    </row>
    <row r="133" ht="21.0" customHeight="1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50"/>
      <c r="AG133" s="51"/>
      <c r="AH133" s="52"/>
      <c r="AI133" s="52"/>
      <c r="AJ133" s="52"/>
      <c r="AK133" s="52"/>
      <c r="AL133" s="52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4"/>
      <c r="AX133" s="54"/>
      <c r="AY133" s="54"/>
      <c r="AZ133" s="54"/>
      <c r="BA133" s="54"/>
      <c r="BB133" s="54"/>
      <c r="BC133" s="54"/>
      <c r="BD133" s="54"/>
      <c r="BE133" s="54"/>
      <c r="BF133" s="54"/>
      <c r="BG133" s="54"/>
      <c r="BH133" s="54"/>
      <c r="BI133" s="54"/>
      <c r="BJ133" s="54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2"/>
      <c r="CJ133" s="52"/>
      <c r="CK133" s="52"/>
      <c r="CL133" s="52"/>
      <c r="CM133" s="52"/>
      <c r="CN133" s="52"/>
      <c r="CO133" s="52"/>
      <c r="CP133" s="51"/>
      <c r="CQ133" s="51"/>
      <c r="CR133" s="51"/>
      <c r="CS133" s="51"/>
      <c r="CT133" s="51"/>
    </row>
    <row r="134" ht="21.0" customHeight="1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50"/>
      <c r="AG134" s="51"/>
      <c r="AH134" s="52"/>
      <c r="AI134" s="52"/>
      <c r="AJ134" s="52"/>
      <c r="AK134" s="52"/>
      <c r="AL134" s="52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  <c r="BI134" s="54"/>
      <c r="BJ134" s="54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2"/>
      <c r="CJ134" s="52"/>
      <c r="CK134" s="52"/>
      <c r="CL134" s="52"/>
      <c r="CM134" s="52"/>
      <c r="CN134" s="52"/>
      <c r="CO134" s="52"/>
      <c r="CP134" s="51"/>
      <c r="CQ134" s="51"/>
      <c r="CR134" s="51"/>
      <c r="CS134" s="51"/>
      <c r="CT134" s="51"/>
    </row>
    <row r="135" ht="21.0" customHeight="1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50"/>
      <c r="AG135" s="51"/>
      <c r="AH135" s="52"/>
      <c r="AI135" s="52"/>
      <c r="AJ135" s="52"/>
      <c r="AK135" s="52"/>
      <c r="AL135" s="52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4"/>
      <c r="AX135" s="54"/>
      <c r="AY135" s="54"/>
      <c r="AZ135" s="54"/>
      <c r="BA135" s="54"/>
      <c r="BB135" s="54"/>
      <c r="BC135" s="54"/>
      <c r="BD135" s="54"/>
      <c r="BE135" s="54"/>
      <c r="BF135" s="54"/>
      <c r="BG135" s="54"/>
      <c r="BH135" s="54"/>
      <c r="BI135" s="54"/>
      <c r="BJ135" s="54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2"/>
      <c r="CJ135" s="52"/>
      <c r="CK135" s="52"/>
      <c r="CL135" s="52"/>
      <c r="CM135" s="52"/>
      <c r="CN135" s="52"/>
      <c r="CO135" s="52"/>
      <c r="CP135" s="51"/>
      <c r="CQ135" s="51"/>
      <c r="CR135" s="51"/>
      <c r="CS135" s="51"/>
      <c r="CT135" s="51"/>
    </row>
    <row r="136" ht="21.0" customHeight="1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50"/>
      <c r="AG136" s="51"/>
      <c r="AH136" s="52"/>
      <c r="AI136" s="52"/>
      <c r="AJ136" s="52"/>
      <c r="AK136" s="52"/>
      <c r="AL136" s="52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4"/>
      <c r="AX136" s="54"/>
      <c r="AY136" s="54"/>
      <c r="AZ136" s="54"/>
      <c r="BA136" s="54"/>
      <c r="BB136" s="54"/>
      <c r="BC136" s="54"/>
      <c r="BD136" s="54"/>
      <c r="BE136" s="54"/>
      <c r="BF136" s="54"/>
      <c r="BG136" s="54"/>
      <c r="BH136" s="54"/>
      <c r="BI136" s="54"/>
      <c r="BJ136" s="54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2"/>
      <c r="CJ136" s="52"/>
      <c r="CK136" s="52"/>
      <c r="CL136" s="52"/>
      <c r="CM136" s="52"/>
      <c r="CN136" s="52"/>
      <c r="CO136" s="52"/>
      <c r="CP136" s="51"/>
      <c r="CQ136" s="51"/>
      <c r="CR136" s="51"/>
      <c r="CS136" s="51"/>
      <c r="CT136" s="51"/>
    </row>
    <row r="137" ht="21.0" customHeight="1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50"/>
      <c r="AG137" s="51"/>
      <c r="AH137" s="52"/>
      <c r="AI137" s="52"/>
      <c r="AJ137" s="52"/>
      <c r="AK137" s="52"/>
      <c r="AL137" s="52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4"/>
      <c r="AX137" s="54"/>
      <c r="AY137" s="54"/>
      <c r="AZ137" s="54"/>
      <c r="BA137" s="54"/>
      <c r="BB137" s="54"/>
      <c r="BC137" s="54"/>
      <c r="BD137" s="54"/>
      <c r="BE137" s="54"/>
      <c r="BF137" s="54"/>
      <c r="BG137" s="54"/>
      <c r="BH137" s="54"/>
      <c r="BI137" s="54"/>
      <c r="BJ137" s="54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2"/>
      <c r="CJ137" s="52"/>
      <c r="CK137" s="52"/>
      <c r="CL137" s="52"/>
      <c r="CM137" s="52"/>
      <c r="CN137" s="52"/>
      <c r="CO137" s="52"/>
      <c r="CP137" s="51"/>
      <c r="CQ137" s="51"/>
      <c r="CR137" s="51"/>
      <c r="CS137" s="51"/>
      <c r="CT137" s="51"/>
    </row>
    <row r="138" ht="21.0" customHeight="1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50"/>
      <c r="AG138" s="51"/>
      <c r="AH138" s="52"/>
      <c r="AI138" s="52"/>
      <c r="AJ138" s="52"/>
      <c r="AK138" s="52"/>
      <c r="AL138" s="52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4"/>
      <c r="AX138" s="54"/>
      <c r="AY138" s="54"/>
      <c r="AZ138" s="54"/>
      <c r="BA138" s="54"/>
      <c r="BB138" s="54"/>
      <c r="BC138" s="54"/>
      <c r="BD138" s="54"/>
      <c r="BE138" s="54"/>
      <c r="BF138" s="54"/>
      <c r="BG138" s="54"/>
      <c r="BH138" s="54"/>
      <c r="BI138" s="54"/>
      <c r="BJ138" s="54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2"/>
      <c r="CJ138" s="52"/>
      <c r="CK138" s="52"/>
      <c r="CL138" s="52"/>
      <c r="CM138" s="52"/>
      <c r="CN138" s="52"/>
      <c r="CO138" s="52"/>
      <c r="CP138" s="51"/>
      <c r="CQ138" s="51"/>
      <c r="CR138" s="51"/>
      <c r="CS138" s="51"/>
      <c r="CT138" s="51"/>
    </row>
    <row r="139" ht="21.0" customHeight="1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50"/>
      <c r="AG139" s="51"/>
      <c r="AH139" s="52"/>
      <c r="AI139" s="52"/>
      <c r="AJ139" s="52"/>
      <c r="AK139" s="52"/>
      <c r="AL139" s="52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  <c r="BI139" s="54"/>
      <c r="BJ139" s="54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2"/>
      <c r="CJ139" s="52"/>
      <c r="CK139" s="52"/>
      <c r="CL139" s="52"/>
      <c r="CM139" s="52"/>
      <c r="CN139" s="52"/>
      <c r="CO139" s="52"/>
      <c r="CP139" s="51"/>
      <c r="CQ139" s="51"/>
      <c r="CR139" s="51"/>
      <c r="CS139" s="51"/>
      <c r="CT139" s="51"/>
    </row>
    <row r="140" ht="21.0" customHeight="1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50"/>
      <c r="AG140" s="51"/>
      <c r="AH140" s="52"/>
      <c r="AI140" s="52"/>
      <c r="AJ140" s="52"/>
      <c r="AK140" s="52"/>
      <c r="AL140" s="52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  <c r="BI140" s="54"/>
      <c r="BJ140" s="54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2"/>
      <c r="CJ140" s="52"/>
      <c r="CK140" s="52"/>
      <c r="CL140" s="52"/>
      <c r="CM140" s="52"/>
      <c r="CN140" s="52"/>
      <c r="CO140" s="52"/>
      <c r="CP140" s="51"/>
      <c r="CQ140" s="51"/>
      <c r="CR140" s="51"/>
      <c r="CS140" s="51"/>
      <c r="CT140" s="51"/>
    </row>
    <row r="141" ht="21.0" customHeight="1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50"/>
      <c r="AG141" s="51"/>
      <c r="AH141" s="52"/>
      <c r="AI141" s="52"/>
      <c r="AJ141" s="52"/>
      <c r="AK141" s="52"/>
      <c r="AL141" s="52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  <c r="BI141" s="54"/>
      <c r="BJ141" s="54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2"/>
      <c r="CJ141" s="52"/>
      <c r="CK141" s="52"/>
      <c r="CL141" s="52"/>
      <c r="CM141" s="52"/>
      <c r="CN141" s="52"/>
      <c r="CO141" s="52"/>
      <c r="CP141" s="51"/>
      <c r="CQ141" s="51"/>
      <c r="CR141" s="51"/>
      <c r="CS141" s="51"/>
      <c r="CT141" s="51"/>
    </row>
    <row r="142" ht="21.0" customHeight="1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50"/>
      <c r="AG142" s="51"/>
      <c r="AH142" s="52"/>
      <c r="AI142" s="52"/>
      <c r="AJ142" s="52"/>
      <c r="AK142" s="52"/>
      <c r="AL142" s="52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  <c r="BI142" s="54"/>
      <c r="BJ142" s="54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2"/>
      <c r="CJ142" s="52"/>
      <c r="CK142" s="52"/>
      <c r="CL142" s="52"/>
      <c r="CM142" s="52"/>
      <c r="CN142" s="52"/>
      <c r="CO142" s="52"/>
      <c r="CP142" s="51"/>
      <c r="CQ142" s="51"/>
      <c r="CR142" s="51"/>
      <c r="CS142" s="51"/>
      <c r="CT142" s="51"/>
    </row>
    <row r="143" ht="21.0" customHeight="1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50"/>
      <c r="AG143" s="51"/>
      <c r="AH143" s="52"/>
      <c r="AI143" s="52"/>
      <c r="AJ143" s="52"/>
      <c r="AK143" s="52"/>
      <c r="AL143" s="52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4"/>
      <c r="AX143" s="54"/>
      <c r="AY143" s="54"/>
      <c r="AZ143" s="54"/>
      <c r="BA143" s="54"/>
      <c r="BB143" s="54"/>
      <c r="BC143" s="54"/>
      <c r="BD143" s="54"/>
      <c r="BE143" s="54"/>
      <c r="BF143" s="54"/>
      <c r="BG143" s="54"/>
      <c r="BH143" s="54"/>
      <c r="BI143" s="54"/>
      <c r="BJ143" s="54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2"/>
      <c r="CJ143" s="52"/>
      <c r="CK143" s="52"/>
      <c r="CL143" s="52"/>
      <c r="CM143" s="52"/>
      <c r="CN143" s="52"/>
      <c r="CO143" s="52"/>
      <c r="CP143" s="51"/>
      <c r="CQ143" s="51"/>
      <c r="CR143" s="51"/>
      <c r="CS143" s="51"/>
      <c r="CT143" s="51"/>
    </row>
    <row r="144" ht="21.0" customHeight="1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50"/>
      <c r="AG144" s="51"/>
      <c r="AH144" s="52"/>
      <c r="AI144" s="52"/>
      <c r="AJ144" s="52"/>
      <c r="AK144" s="52"/>
      <c r="AL144" s="52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  <c r="BI144" s="54"/>
      <c r="BJ144" s="54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2"/>
      <c r="CJ144" s="52"/>
      <c r="CK144" s="52"/>
      <c r="CL144" s="52"/>
      <c r="CM144" s="52"/>
      <c r="CN144" s="52"/>
      <c r="CO144" s="52"/>
      <c r="CP144" s="51"/>
      <c r="CQ144" s="51"/>
      <c r="CR144" s="51"/>
      <c r="CS144" s="51"/>
      <c r="CT144" s="51"/>
    </row>
    <row r="145" ht="21.0" customHeight="1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50"/>
      <c r="AG145" s="51"/>
      <c r="AH145" s="52"/>
      <c r="AI145" s="52"/>
      <c r="AJ145" s="52"/>
      <c r="AK145" s="52"/>
      <c r="AL145" s="52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4"/>
      <c r="AX145" s="54"/>
      <c r="AY145" s="54"/>
      <c r="AZ145" s="54"/>
      <c r="BA145" s="54"/>
      <c r="BB145" s="54"/>
      <c r="BC145" s="54"/>
      <c r="BD145" s="54"/>
      <c r="BE145" s="54"/>
      <c r="BF145" s="54"/>
      <c r="BG145" s="54"/>
      <c r="BH145" s="54"/>
      <c r="BI145" s="54"/>
      <c r="BJ145" s="54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2"/>
      <c r="CJ145" s="52"/>
      <c r="CK145" s="52"/>
      <c r="CL145" s="52"/>
      <c r="CM145" s="52"/>
      <c r="CN145" s="52"/>
      <c r="CO145" s="52"/>
      <c r="CP145" s="51"/>
      <c r="CQ145" s="51"/>
      <c r="CR145" s="51"/>
      <c r="CS145" s="51"/>
      <c r="CT145" s="51"/>
    </row>
    <row r="146" ht="21.0" customHeight="1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50"/>
      <c r="AG146" s="51"/>
      <c r="AH146" s="52"/>
      <c r="AI146" s="52"/>
      <c r="AJ146" s="52"/>
      <c r="AK146" s="52"/>
      <c r="AL146" s="52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4"/>
      <c r="AX146" s="54"/>
      <c r="AY146" s="54"/>
      <c r="AZ146" s="54"/>
      <c r="BA146" s="54"/>
      <c r="BB146" s="54"/>
      <c r="BC146" s="54"/>
      <c r="BD146" s="54"/>
      <c r="BE146" s="54"/>
      <c r="BF146" s="54"/>
      <c r="BG146" s="54"/>
      <c r="BH146" s="54"/>
      <c r="BI146" s="54"/>
      <c r="BJ146" s="54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2"/>
      <c r="CJ146" s="52"/>
      <c r="CK146" s="52"/>
      <c r="CL146" s="52"/>
      <c r="CM146" s="52"/>
      <c r="CN146" s="52"/>
      <c r="CO146" s="52"/>
      <c r="CP146" s="51"/>
      <c r="CQ146" s="51"/>
      <c r="CR146" s="51"/>
      <c r="CS146" s="51"/>
      <c r="CT146" s="51"/>
    </row>
    <row r="147" ht="21.0" customHeight="1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50"/>
      <c r="AG147" s="51"/>
      <c r="AH147" s="52"/>
      <c r="AI147" s="52"/>
      <c r="AJ147" s="52"/>
      <c r="AK147" s="52"/>
      <c r="AL147" s="52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4"/>
      <c r="AX147" s="54"/>
      <c r="AY147" s="54"/>
      <c r="AZ147" s="54"/>
      <c r="BA147" s="54"/>
      <c r="BB147" s="54"/>
      <c r="BC147" s="54"/>
      <c r="BD147" s="54"/>
      <c r="BE147" s="54"/>
      <c r="BF147" s="54"/>
      <c r="BG147" s="54"/>
      <c r="BH147" s="54"/>
      <c r="BI147" s="54"/>
      <c r="BJ147" s="54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2"/>
      <c r="CJ147" s="52"/>
      <c r="CK147" s="52"/>
      <c r="CL147" s="52"/>
      <c r="CM147" s="52"/>
      <c r="CN147" s="52"/>
      <c r="CO147" s="52"/>
      <c r="CP147" s="51"/>
      <c r="CQ147" s="51"/>
      <c r="CR147" s="51"/>
      <c r="CS147" s="51"/>
      <c r="CT147" s="51"/>
    </row>
    <row r="148" ht="21.0" customHeight="1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50"/>
      <c r="AG148" s="51"/>
      <c r="AH148" s="52"/>
      <c r="AI148" s="52"/>
      <c r="AJ148" s="52"/>
      <c r="AK148" s="52"/>
      <c r="AL148" s="52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4"/>
      <c r="AX148" s="54"/>
      <c r="AY148" s="54"/>
      <c r="AZ148" s="54"/>
      <c r="BA148" s="54"/>
      <c r="BB148" s="54"/>
      <c r="BC148" s="54"/>
      <c r="BD148" s="54"/>
      <c r="BE148" s="54"/>
      <c r="BF148" s="54"/>
      <c r="BG148" s="54"/>
      <c r="BH148" s="54"/>
      <c r="BI148" s="54"/>
      <c r="BJ148" s="54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2"/>
      <c r="CJ148" s="52"/>
      <c r="CK148" s="52"/>
      <c r="CL148" s="52"/>
      <c r="CM148" s="52"/>
      <c r="CN148" s="52"/>
      <c r="CO148" s="52"/>
      <c r="CP148" s="51"/>
      <c r="CQ148" s="51"/>
      <c r="CR148" s="51"/>
      <c r="CS148" s="51"/>
      <c r="CT148" s="51"/>
    </row>
    <row r="149" ht="21.0" customHeight="1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50"/>
      <c r="AG149" s="51"/>
      <c r="AH149" s="52"/>
      <c r="AI149" s="52"/>
      <c r="AJ149" s="52"/>
      <c r="AK149" s="52"/>
      <c r="AL149" s="52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4"/>
      <c r="AX149" s="54"/>
      <c r="AY149" s="54"/>
      <c r="AZ149" s="54"/>
      <c r="BA149" s="54"/>
      <c r="BB149" s="54"/>
      <c r="BC149" s="54"/>
      <c r="BD149" s="54"/>
      <c r="BE149" s="54"/>
      <c r="BF149" s="54"/>
      <c r="BG149" s="54"/>
      <c r="BH149" s="54"/>
      <c r="BI149" s="54"/>
      <c r="BJ149" s="54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2"/>
      <c r="CJ149" s="52"/>
      <c r="CK149" s="52"/>
      <c r="CL149" s="52"/>
      <c r="CM149" s="52"/>
      <c r="CN149" s="52"/>
      <c r="CO149" s="52"/>
      <c r="CP149" s="51"/>
      <c r="CQ149" s="51"/>
      <c r="CR149" s="51"/>
      <c r="CS149" s="51"/>
      <c r="CT149" s="51"/>
    </row>
    <row r="150" ht="21.0" customHeight="1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50"/>
      <c r="AG150" s="51"/>
      <c r="AH150" s="52"/>
      <c r="AI150" s="52"/>
      <c r="AJ150" s="52"/>
      <c r="AK150" s="52"/>
      <c r="AL150" s="52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4"/>
      <c r="AX150" s="54"/>
      <c r="AY150" s="54"/>
      <c r="AZ150" s="54"/>
      <c r="BA150" s="54"/>
      <c r="BB150" s="54"/>
      <c r="BC150" s="54"/>
      <c r="BD150" s="54"/>
      <c r="BE150" s="54"/>
      <c r="BF150" s="54"/>
      <c r="BG150" s="54"/>
      <c r="BH150" s="54"/>
      <c r="BI150" s="54"/>
      <c r="BJ150" s="54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2"/>
      <c r="CJ150" s="52"/>
      <c r="CK150" s="52"/>
      <c r="CL150" s="52"/>
      <c r="CM150" s="52"/>
      <c r="CN150" s="52"/>
      <c r="CO150" s="52"/>
      <c r="CP150" s="51"/>
      <c r="CQ150" s="51"/>
      <c r="CR150" s="51"/>
      <c r="CS150" s="51"/>
      <c r="CT150" s="51"/>
    </row>
    <row r="151" ht="21.0" customHeight="1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50"/>
      <c r="AG151" s="51"/>
      <c r="AH151" s="52"/>
      <c r="AI151" s="52"/>
      <c r="AJ151" s="52"/>
      <c r="AK151" s="52"/>
      <c r="AL151" s="52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4"/>
      <c r="AX151" s="54"/>
      <c r="AY151" s="54"/>
      <c r="AZ151" s="54"/>
      <c r="BA151" s="54"/>
      <c r="BB151" s="54"/>
      <c r="BC151" s="54"/>
      <c r="BD151" s="54"/>
      <c r="BE151" s="54"/>
      <c r="BF151" s="54"/>
      <c r="BG151" s="54"/>
      <c r="BH151" s="54"/>
      <c r="BI151" s="54"/>
      <c r="BJ151" s="54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2"/>
      <c r="CJ151" s="52"/>
      <c r="CK151" s="52"/>
      <c r="CL151" s="52"/>
      <c r="CM151" s="52"/>
      <c r="CN151" s="52"/>
      <c r="CO151" s="52"/>
      <c r="CP151" s="51"/>
      <c r="CQ151" s="51"/>
      <c r="CR151" s="51"/>
      <c r="CS151" s="51"/>
      <c r="CT151" s="51"/>
    </row>
    <row r="152" ht="21.0" customHeight="1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50"/>
      <c r="AG152" s="51"/>
      <c r="AH152" s="52"/>
      <c r="AI152" s="52"/>
      <c r="AJ152" s="52"/>
      <c r="AK152" s="52"/>
      <c r="AL152" s="52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  <c r="BI152" s="54"/>
      <c r="BJ152" s="54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2"/>
      <c r="CJ152" s="52"/>
      <c r="CK152" s="52"/>
      <c r="CL152" s="52"/>
      <c r="CM152" s="52"/>
      <c r="CN152" s="52"/>
      <c r="CO152" s="52"/>
      <c r="CP152" s="51"/>
      <c r="CQ152" s="51"/>
      <c r="CR152" s="51"/>
      <c r="CS152" s="51"/>
      <c r="CT152" s="51"/>
    </row>
    <row r="153" ht="21.0" customHeight="1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50"/>
      <c r="AG153" s="51"/>
      <c r="AH153" s="52"/>
      <c r="AI153" s="52"/>
      <c r="AJ153" s="52"/>
      <c r="AK153" s="52"/>
      <c r="AL153" s="52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4"/>
      <c r="AX153" s="54"/>
      <c r="AY153" s="54"/>
      <c r="AZ153" s="54"/>
      <c r="BA153" s="54"/>
      <c r="BB153" s="54"/>
      <c r="BC153" s="54"/>
      <c r="BD153" s="54"/>
      <c r="BE153" s="54"/>
      <c r="BF153" s="54"/>
      <c r="BG153" s="54"/>
      <c r="BH153" s="54"/>
      <c r="BI153" s="54"/>
      <c r="BJ153" s="54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2"/>
      <c r="CJ153" s="52"/>
      <c r="CK153" s="52"/>
      <c r="CL153" s="52"/>
      <c r="CM153" s="52"/>
      <c r="CN153" s="52"/>
      <c r="CO153" s="52"/>
      <c r="CP153" s="51"/>
      <c r="CQ153" s="51"/>
      <c r="CR153" s="51"/>
      <c r="CS153" s="51"/>
      <c r="CT153" s="51"/>
    </row>
    <row r="154" ht="21.0" customHeight="1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50"/>
      <c r="AG154" s="51"/>
      <c r="AH154" s="52"/>
      <c r="AI154" s="52"/>
      <c r="AJ154" s="52"/>
      <c r="AK154" s="52"/>
      <c r="AL154" s="52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4"/>
      <c r="AX154" s="54"/>
      <c r="AY154" s="54"/>
      <c r="AZ154" s="54"/>
      <c r="BA154" s="54"/>
      <c r="BB154" s="54"/>
      <c r="BC154" s="54"/>
      <c r="BD154" s="54"/>
      <c r="BE154" s="54"/>
      <c r="BF154" s="54"/>
      <c r="BG154" s="54"/>
      <c r="BH154" s="54"/>
      <c r="BI154" s="54"/>
      <c r="BJ154" s="54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2"/>
      <c r="CJ154" s="52"/>
      <c r="CK154" s="52"/>
      <c r="CL154" s="52"/>
      <c r="CM154" s="52"/>
      <c r="CN154" s="52"/>
      <c r="CO154" s="52"/>
      <c r="CP154" s="51"/>
      <c r="CQ154" s="51"/>
      <c r="CR154" s="51"/>
      <c r="CS154" s="51"/>
      <c r="CT154" s="51"/>
    </row>
    <row r="155" ht="21.0" customHeight="1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50"/>
      <c r="AG155" s="51"/>
      <c r="AH155" s="52"/>
      <c r="AI155" s="52"/>
      <c r="AJ155" s="52"/>
      <c r="AK155" s="52"/>
      <c r="AL155" s="52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4"/>
      <c r="AX155" s="54"/>
      <c r="AY155" s="54"/>
      <c r="AZ155" s="54"/>
      <c r="BA155" s="54"/>
      <c r="BB155" s="54"/>
      <c r="BC155" s="54"/>
      <c r="BD155" s="54"/>
      <c r="BE155" s="54"/>
      <c r="BF155" s="54"/>
      <c r="BG155" s="54"/>
      <c r="BH155" s="54"/>
      <c r="BI155" s="54"/>
      <c r="BJ155" s="54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2"/>
      <c r="CJ155" s="52"/>
      <c r="CK155" s="52"/>
      <c r="CL155" s="52"/>
      <c r="CM155" s="52"/>
      <c r="CN155" s="52"/>
      <c r="CO155" s="52"/>
      <c r="CP155" s="51"/>
      <c r="CQ155" s="51"/>
      <c r="CR155" s="51"/>
      <c r="CS155" s="51"/>
      <c r="CT155" s="51"/>
    </row>
    <row r="156" ht="21.0" customHeight="1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50"/>
      <c r="AG156" s="51"/>
      <c r="AH156" s="52"/>
      <c r="AI156" s="52"/>
      <c r="AJ156" s="52"/>
      <c r="AK156" s="52"/>
      <c r="AL156" s="52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4"/>
      <c r="AX156" s="54"/>
      <c r="AY156" s="54"/>
      <c r="AZ156" s="54"/>
      <c r="BA156" s="54"/>
      <c r="BB156" s="54"/>
      <c r="BC156" s="54"/>
      <c r="BD156" s="54"/>
      <c r="BE156" s="54"/>
      <c r="BF156" s="54"/>
      <c r="BG156" s="54"/>
      <c r="BH156" s="54"/>
      <c r="BI156" s="54"/>
      <c r="BJ156" s="54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2"/>
      <c r="CJ156" s="52"/>
      <c r="CK156" s="52"/>
      <c r="CL156" s="52"/>
      <c r="CM156" s="52"/>
      <c r="CN156" s="52"/>
      <c r="CO156" s="52"/>
      <c r="CP156" s="51"/>
      <c r="CQ156" s="51"/>
      <c r="CR156" s="51"/>
      <c r="CS156" s="51"/>
      <c r="CT156" s="51"/>
    </row>
    <row r="157" ht="21.0" customHeight="1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50"/>
      <c r="AG157" s="51"/>
      <c r="AH157" s="52"/>
      <c r="AI157" s="52"/>
      <c r="AJ157" s="52"/>
      <c r="AK157" s="52"/>
      <c r="AL157" s="52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4"/>
      <c r="AX157" s="54"/>
      <c r="AY157" s="54"/>
      <c r="AZ157" s="54"/>
      <c r="BA157" s="54"/>
      <c r="BB157" s="54"/>
      <c r="BC157" s="54"/>
      <c r="BD157" s="54"/>
      <c r="BE157" s="54"/>
      <c r="BF157" s="54"/>
      <c r="BG157" s="54"/>
      <c r="BH157" s="54"/>
      <c r="BI157" s="54"/>
      <c r="BJ157" s="54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2"/>
      <c r="CJ157" s="52"/>
      <c r="CK157" s="52"/>
      <c r="CL157" s="52"/>
      <c r="CM157" s="52"/>
      <c r="CN157" s="52"/>
      <c r="CO157" s="52"/>
      <c r="CP157" s="51"/>
      <c r="CQ157" s="51"/>
      <c r="CR157" s="51"/>
      <c r="CS157" s="51"/>
      <c r="CT157" s="51"/>
    </row>
    <row r="158" ht="21.0" customHeight="1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50"/>
      <c r="AG158" s="51"/>
      <c r="AH158" s="52"/>
      <c r="AI158" s="52"/>
      <c r="AJ158" s="52"/>
      <c r="AK158" s="52"/>
      <c r="AL158" s="52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4"/>
      <c r="AX158" s="54"/>
      <c r="AY158" s="54"/>
      <c r="AZ158" s="54"/>
      <c r="BA158" s="54"/>
      <c r="BB158" s="54"/>
      <c r="BC158" s="54"/>
      <c r="BD158" s="54"/>
      <c r="BE158" s="54"/>
      <c r="BF158" s="54"/>
      <c r="BG158" s="54"/>
      <c r="BH158" s="54"/>
      <c r="BI158" s="54"/>
      <c r="BJ158" s="54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2"/>
      <c r="CJ158" s="52"/>
      <c r="CK158" s="52"/>
      <c r="CL158" s="52"/>
      <c r="CM158" s="52"/>
      <c r="CN158" s="52"/>
      <c r="CO158" s="52"/>
      <c r="CP158" s="51"/>
      <c r="CQ158" s="51"/>
      <c r="CR158" s="51"/>
      <c r="CS158" s="51"/>
      <c r="CT158" s="51"/>
    </row>
    <row r="159" ht="21.0" customHeight="1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50"/>
      <c r="AG159" s="51"/>
      <c r="AH159" s="52"/>
      <c r="AI159" s="52"/>
      <c r="AJ159" s="52"/>
      <c r="AK159" s="52"/>
      <c r="AL159" s="52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4"/>
      <c r="AX159" s="54"/>
      <c r="AY159" s="54"/>
      <c r="AZ159" s="54"/>
      <c r="BA159" s="54"/>
      <c r="BB159" s="54"/>
      <c r="BC159" s="54"/>
      <c r="BD159" s="54"/>
      <c r="BE159" s="54"/>
      <c r="BF159" s="54"/>
      <c r="BG159" s="54"/>
      <c r="BH159" s="54"/>
      <c r="BI159" s="54"/>
      <c r="BJ159" s="54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2"/>
      <c r="CJ159" s="52"/>
      <c r="CK159" s="52"/>
      <c r="CL159" s="52"/>
      <c r="CM159" s="52"/>
      <c r="CN159" s="52"/>
      <c r="CO159" s="52"/>
      <c r="CP159" s="51"/>
      <c r="CQ159" s="51"/>
      <c r="CR159" s="51"/>
      <c r="CS159" s="51"/>
      <c r="CT159" s="51"/>
    </row>
    <row r="160" ht="21.0" customHeight="1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50"/>
      <c r="AG160" s="51"/>
      <c r="AH160" s="52"/>
      <c r="AI160" s="52"/>
      <c r="AJ160" s="52"/>
      <c r="AK160" s="52"/>
      <c r="AL160" s="52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4"/>
      <c r="AX160" s="54"/>
      <c r="AY160" s="54"/>
      <c r="AZ160" s="54"/>
      <c r="BA160" s="54"/>
      <c r="BB160" s="54"/>
      <c r="BC160" s="54"/>
      <c r="BD160" s="54"/>
      <c r="BE160" s="54"/>
      <c r="BF160" s="54"/>
      <c r="BG160" s="54"/>
      <c r="BH160" s="54"/>
      <c r="BI160" s="54"/>
      <c r="BJ160" s="54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2"/>
      <c r="CJ160" s="52"/>
      <c r="CK160" s="52"/>
      <c r="CL160" s="52"/>
      <c r="CM160" s="52"/>
      <c r="CN160" s="52"/>
      <c r="CO160" s="52"/>
      <c r="CP160" s="51"/>
      <c r="CQ160" s="51"/>
      <c r="CR160" s="51"/>
      <c r="CS160" s="51"/>
      <c r="CT160" s="51"/>
    </row>
    <row r="161" ht="21.0" customHeight="1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50"/>
      <c r="AG161" s="51"/>
      <c r="AH161" s="52"/>
      <c r="AI161" s="52"/>
      <c r="AJ161" s="52"/>
      <c r="AK161" s="52"/>
      <c r="AL161" s="52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4"/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  <c r="BI161" s="54"/>
      <c r="BJ161" s="54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2"/>
      <c r="CJ161" s="52"/>
      <c r="CK161" s="52"/>
      <c r="CL161" s="52"/>
      <c r="CM161" s="52"/>
      <c r="CN161" s="52"/>
      <c r="CO161" s="52"/>
      <c r="CP161" s="51"/>
      <c r="CQ161" s="51"/>
      <c r="CR161" s="51"/>
      <c r="CS161" s="51"/>
      <c r="CT161" s="51"/>
    </row>
    <row r="162" ht="21.0" customHeight="1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50"/>
      <c r="AG162" s="51"/>
      <c r="AH162" s="52"/>
      <c r="AI162" s="52"/>
      <c r="AJ162" s="52"/>
      <c r="AK162" s="52"/>
      <c r="AL162" s="52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4"/>
      <c r="AX162" s="54"/>
      <c r="AY162" s="54"/>
      <c r="AZ162" s="54"/>
      <c r="BA162" s="54"/>
      <c r="BB162" s="54"/>
      <c r="BC162" s="54"/>
      <c r="BD162" s="54"/>
      <c r="BE162" s="54"/>
      <c r="BF162" s="54"/>
      <c r="BG162" s="54"/>
      <c r="BH162" s="54"/>
      <c r="BI162" s="54"/>
      <c r="BJ162" s="54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2"/>
      <c r="CJ162" s="52"/>
      <c r="CK162" s="52"/>
      <c r="CL162" s="52"/>
      <c r="CM162" s="52"/>
      <c r="CN162" s="52"/>
      <c r="CO162" s="52"/>
      <c r="CP162" s="51"/>
      <c r="CQ162" s="51"/>
      <c r="CR162" s="51"/>
      <c r="CS162" s="51"/>
      <c r="CT162" s="51"/>
    </row>
    <row r="163" ht="21.0" customHeight="1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50"/>
      <c r="AG163" s="51"/>
      <c r="AH163" s="52"/>
      <c r="AI163" s="52"/>
      <c r="AJ163" s="52"/>
      <c r="AK163" s="52"/>
      <c r="AL163" s="52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4"/>
      <c r="AX163" s="54"/>
      <c r="AY163" s="54"/>
      <c r="AZ163" s="54"/>
      <c r="BA163" s="54"/>
      <c r="BB163" s="54"/>
      <c r="BC163" s="54"/>
      <c r="BD163" s="54"/>
      <c r="BE163" s="54"/>
      <c r="BF163" s="54"/>
      <c r="BG163" s="54"/>
      <c r="BH163" s="54"/>
      <c r="BI163" s="54"/>
      <c r="BJ163" s="54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2"/>
      <c r="CJ163" s="52"/>
      <c r="CK163" s="52"/>
      <c r="CL163" s="52"/>
      <c r="CM163" s="52"/>
      <c r="CN163" s="52"/>
      <c r="CO163" s="52"/>
      <c r="CP163" s="51"/>
      <c r="CQ163" s="51"/>
      <c r="CR163" s="51"/>
      <c r="CS163" s="51"/>
      <c r="CT163" s="51"/>
    </row>
    <row r="164" ht="21.0" customHeight="1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50"/>
      <c r="AG164" s="51"/>
      <c r="AH164" s="52"/>
      <c r="AI164" s="52"/>
      <c r="AJ164" s="52"/>
      <c r="AK164" s="52"/>
      <c r="AL164" s="52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4"/>
      <c r="AX164" s="54"/>
      <c r="AY164" s="54"/>
      <c r="AZ164" s="54"/>
      <c r="BA164" s="54"/>
      <c r="BB164" s="54"/>
      <c r="BC164" s="54"/>
      <c r="BD164" s="54"/>
      <c r="BE164" s="54"/>
      <c r="BF164" s="54"/>
      <c r="BG164" s="54"/>
      <c r="BH164" s="54"/>
      <c r="BI164" s="54"/>
      <c r="BJ164" s="54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2"/>
      <c r="CJ164" s="52"/>
      <c r="CK164" s="52"/>
      <c r="CL164" s="52"/>
      <c r="CM164" s="52"/>
      <c r="CN164" s="52"/>
      <c r="CO164" s="52"/>
      <c r="CP164" s="51"/>
      <c r="CQ164" s="51"/>
      <c r="CR164" s="51"/>
      <c r="CS164" s="51"/>
      <c r="CT164" s="51"/>
    </row>
    <row r="165" ht="21.0" customHeight="1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50"/>
      <c r="AG165" s="51"/>
      <c r="AH165" s="52"/>
      <c r="AI165" s="52"/>
      <c r="AJ165" s="52"/>
      <c r="AK165" s="52"/>
      <c r="AL165" s="52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4"/>
      <c r="AX165" s="54"/>
      <c r="AY165" s="54"/>
      <c r="AZ165" s="54"/>
      <c r="BA165" s="54"/>
      <c r="BB165" s="54"/>
      <c r="BC165" s="54"/>
      <c r="BD165" s="54"/>
      <c r="BE165" s="54"/>
      <c r="BF165" s="54"/>
      <c r="BG165" s="54"/>
      <c r="BH165" s="54"/>
      <c r="BI165" s="54"/>
      <c r="BJ165" s="54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2"/>
      <c r="CJ165" s="52"/>
      <c r="CK165" s="52"/>
      <c r="CL165" s="52"/>
      <c r="CM165" s="52"/>
      <c r="CN165" s="52"/>
      <c r="CO165" s="52"/>
      <c r="CP165" s="51"/>
      <c r="CQ165" s="51"/>
      <c r="CR165" s="51"/>
      <c r="CS165" s="51"/>
      <c r="CT165" s="51"/>
    </row>
    <row r="166" ht="21.0" customHeight="1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50"/>
      <c r="AG166" s="51"/>
      <c r="AH166" s="52"/>
      <c r="AI166" s="52"/>
      <c r="AJ166" s="52"/>
      <c r="AK166" s="52"/>
      <c r="AL166" s="52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4"/>
      <c r="AX166" s="54"/>
      <c r="AY166" s="54"/>
      <c r="AZ166" s="54"/>
      <c r="BA166" s="54"/>
      <c r="BB166" s="54"/>
      <c r="BC166" s="54"/>
      <c r="BD166" s="54"/>
      <c r="BE166" s="54"/>
      <c r="BF166" s="54"/>
      <c r="BG166" s="54"/>
      <c r="BH166" s="54"/>
      <c r="BI166" s="54"/>
      <c r="BJ166" s="54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2"/>
      <c r="CJ166" s="52"/>
      <c r="CK166" s="52"/>
      <c r="CL166" s="52"/>
      <c r="CM166" s="52"/>
      <c r="CN166" s="52"/>
      <c r="CO166" s="52"/>
      <c r="CP166" s="51"/>
      <c r="CQ166" s="51"/>
      <c r="CR166" s="51"/>
      <c r="CS166" s="51"/>
      <c r="CT166" s="51"/>
    </row>
    <row r="167" ht="21.0" customHeight="1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50"/>
      <c r="AG167" s="51"/>
      <c r="AH167" s="52"/>
      <c r="AI167" s="52"/>
      <c r="AJ167" s="52"/>
      <c r="AK167" s="52"/>
      <c r="AL167" s="52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4"/>
      <c r="AX167" s="54"/>
      <c r="AY167" s="54"/>
      <c r="AZ167" s="54"/>
      <c r="BA167" s="54"/>
      <c r="BB167" s="54"/>
      <c r="BC167" s="54"/>
      <c r="BD167" s="54"/>
      <c r="BE167" s="54"/>
      <c r="BF167" s="54"/>
      <c r="BG167" s="54"/>
      <c r="BH167" s="54"/>
      <c r="BI167" s="54"/>
      <c r="BJ167" s="54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2"/>
      <c r="CJ167" s="52"/>
      <c r="CK167" s="52"/>
      <c r="CL167" s="52"/>
      <c r="CM167" s="52"/>
      <c r="CN167" s="52"/>
      <c r="CO167" s="52"/>
      <c r="CP167" s="51"/>
      <c r="CQ167" s="51"/>
      <c r="CR167" s="51"/>
      <c r="CS167" s="51"/>
      <c r="CT167" s="51"/>
    </row>
    <row r="168" ht="21.0" customHeight="1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50"/>
      <c r="AG168" s="51"/>
      <c r="AH168" s="52"/>
      <c r="AI168" s="52"/>
      <c r="AJ168" s="52"/>
      <c r="AK168" s="52"/>
      <c r="AL168" s="52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  <c r="BI168" s="54"/>
      <c r="BJ168" s="54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2"/>
      <c r="CJ168" s="52"/>
      <c r="CK168" s="52"/>
      <c r="CL168" s="52"/>
      <c r="CM168" s="52"/>
      <c r="CN168" s="52"/>
      <c r="CO168" s="52"/>
      <c r="CP168" s="51"/>
      <c r="CQ168" s="51"/>
      <c r="CR168" s="51"/>
      <c r="CS168" s="51"/>
      <c r="CT168" s="51"/>
    </row>
    <row r="169" ht="21.0" customHeight="1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50"/>
      <c r="AG169" s="51"/>
      <c r="AH169" s="52"/>
      <c r="AI169" s="52"/>
      <c r="AJ169" s="52"/>
      <c r="AK169" s="52"/>
      <c r="AL169" s="52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4"/>
      <c r="AX169" s="54"/>
      <c r="AY169" s="54"/>
      <c r="AZ169" s="54"/>
      <c r="BA169" s="54"/>
      <c r="BB169" s="54"/>
      <c r="BC169" s="54"/>
      <c r="BD169" s="54"/>
      <c r="BE169" s="54"/>
      <c r="BF169" s="54"/>
      <c r="BG169" s="54"/>
      <c r="BH169" s="54"/>
      <c r="BI169" s="54"/>
      <c r="BJ169" s="54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2"/>
      <c r="CJ169" s="52"/>
      <c r="CK169" s="52"/>
      <c r="CL169" s="52"/>
      <c r="CM169" s="52"/>
      <c r="CN169" s="52"/>
      <c r="CO169" s="52"/>
      <c r="CP169" s="51"/>
      <c r="CQ169" s="51"/>
      <c r="CR169" s="51"/>
      <c r="CS169" s="51"/>
      <c r="CT169" s="51"/>
    </row>
    <row r="170" ht="21.0" customHeight="1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50"/>
      <c r="AG170" s="51"/>
      <c r="AH170" s="52"/>
      <c r="AI170" s="52"/>
      <c r="AJ170" s="52"/>
      <c r="AK170" s="52"/>
      <c r="AL170" s="52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4"/>
      <c r="AX170" s="54"/>
      <c r="AY170" s="54"/>
      <c r="AZ170" s="54"/>
      <c r="BA170" s="54"/>
      <c r="BB170" s="54"/>
      <c r="BC170" s="54"/>
      <c r="BD170" s="54"/>
      <c r="BE170" s="54"/>
      <c r="BF170" s="54"/>
      <c r="BG170" s="54"/>
      <c r="BH170" s="54"/>
      <c r="BI170" s="54"/>
      <c r="BJ170" s="54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2"/>
      <c r="CJ170" s="52"/>
      <c r="CK170" s="52"/>
      <c r="CL170" s="52"/>
      <c r="CM170" s="52"/>
      <c r="CN170" s="52"/>
      <c r="CO170" s="52"/>
      <c r="CP170" s="51"/>
      <c r="CQ170" s="51"/>
      <c r="CR170" s="51"/>
      <c r="CS170" s="51"/>
      <c r="CT170" s="51"/>
    </row>
    <row r="171" ht="21.0" customHeight="1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50"/>
      <c r="AG171" s="51"/>
      <c r="AH171" s="52"/>
      <c r="AI171" s="52"/>
      <c r="AJ171" s="52"/>
      <c r="AK171" s="52"/>
      <c r="AL171" s="52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4"/>
      <c r="AX171" s="54"/>
      <c r="AY171" s="54"/>
      <c r="AZ171" s="54"/>
      <c r="BA171" s="54"/>
      <c r="BB171" s="54"/>
      <c r="BC171" s="54"/>
      <c r="BD171" s="54"/>
      <c r="BE171" s="54"/>
      <c r="BF171" s="54"/>
      <c r="BG171" s="54"/>
      <c r="BH171" s="54"/>
      <c r="BI171" s="54"/>
      <c r="BJ171" s="54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2"/>
      <c r="CJ171" s="52"/>
      <c r="CK171" s="52"/>
      <c r="CL171" s="52"/>
      <c r="CM171" s="52"/>
      <c r="CN171" s="52"/>
      <c r="CO171" s="52"/>
      <c r="CP171" s="51"/>
      <c r="CQ171" s="51"/>
      <c r="CR171" s="51"/>
      <c r="CS171" s="51"/>
      <c r="CT171" s="51"/>
    </row>
    <row r="172" ht="21.0" customHeight="1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50"/>
      <c r="AG172" s="51"/>
      <c r="AH172" s="52"/>
      <c r="AI172" s="52"/>
      <c r="AJ172" s="52"/>
      <c r="AK172" s="52"/>
      <c r="AL172" s="52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4"/>
      <c r="AX172" s="54"/>
      <c r="AY172" s="54"/>
      <c r="AZ172" s="54"/>
      <c r="BA172" s="54"/>
      <c r="BB172" s="54"/>
      <c r="BC172" s="54"/>
      <c r="BD172" s="54"/>
      <c r="BE172" s="54"/>
      <c r="BF172" s="54"/>
      <c r="BG172" s="54"/>
      <c r="BH172" s="54"/>
      <c r="BI172" s="54"/>
      <c r="BJ172" s="54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2"/>
      <c r="CJ172" s="52"/>
      <c r="CK172" s="52"/>
      <c r="CL172" s="52"/>
      <c r="CM172" s="52"/>
      <c r="CN172" s="52"/>
      <c r="CO172" s="52"/>
      <c r="CP172" s="51"/>
      <c r="CQ172" s="51"/>
      <c r="CR172" s="51"/>
      <c r="CS172" s="51"/>
      <c r="CT172" s="51"/>
    </row>
    <row r="173" ht="21.0" customHeight="1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50"/>
      <c r="AG173" s="51"/>
      <c r="AH173" s="52"/>
      <c r="AI173" s="52"/>
      <c r="AJ173" s="52"/>
      <c r="AK173" s="52"/>
      <c r="AL173" s="52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4"/>
      <c r="AX173" s="54"/>
      <c r="AY173" s="54"/>
      <c r="AZ173" s="54"/>
      <c r="BA173" s="54"/>
      <c r="BB173" s="54"/>
      <c r="BC173" s="54"/>
      <c r="BD173" s="54"/>
      <c r="BE173" s="54"/>
      <c r="BF173" s="54"/>
      <c r="BG173" s="54"/>
      <c r="BH173" s="54"/>
      <c r="BI173" s="54"/>
      <c r="BJ173" s="54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2"/>
      <c r="CJ173" s="52"/>
      <c r="CK173" s="52"/>
      <c r="CL173" s="52"/>
      <c r="CM173" s="52"/>
      <c r="CN173" s="52"/>
      <c r="CO173" s="52"/>
      <c r="CP173" s="51"/>
      <c r="CQ173" s="51"/>
      <c r="CR173" s="51"/>
      <c r="CS173" s="51"/>
      <c r="CT173" s="51"/>
    </row>
    <row r="174" ht="21.0" customHeight="1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50"/>
      <c r="AG174" s="51"/>
      <c r="AH174" s="52"/>
      <c r="AI174" s="52"/>
      <c r="AJ174" s="52"/>
      <c r="AK174" s="52"/>
      <c r="AL174" s="52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4"/>
      <c r="AX174" s="54"/>
      <c r="AY174" s="54"/>
      <c r="AZ174" s="54"/>
      <c r="BA174" s="54"/>
      <c r="BB174" s="54"/>
      <c r="BC174" s="54"/>
      <c r="BD174" s="54"/>
      <c r="BE174" s="54"/>
      <c r="BF174" s="54"/>
      <c r="BG174" s="54"/>
      <c r="BH174" s="54"/>
      <c r="BI174" s="54"/>
      <c r="BJ174" s="54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2"/>
      <c r="CJ174" s="52"/>
      <c r="CK174" s="52"/>
      <c r="CL174" s="52"/>
      <c r="CM174" s="52"/>
      <c r="CN174" s="52"/>
      <c r="CO174" s="52"/>
      <c r="CP174" s="51"/>
      <c r="CQ174" s="51"/>
      <c r="CR174" s="51"/>
      <c r="CS174" s="51"/>
      <c r="CT174" s="51"/>
    </row>
    <row r="175" ht="21.0" customHeight="1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50"/>
      <c r="AG175" s="51"/>
      <c r="AH175" s="52"/>
      <c r="AI175" s="52"/>
      <c r="AJ175" s="52"/>
      <c r="AK175" s="52"/>
      <c r="AL175" s="52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4"/>
      <c r="AX175" s="54"/>
      <c r="AY175" s="54"/>
      <c r="AZ175" s="54"/>
      <c r="BA175" s="54"/>
      <c r="BB175" s="54"/>
      <c r="BC175" s="54"/>
      <c r="BD175" s="54"/>
      <c r="BE175" s="54"/>
      <c r="BF175" s="54"/>
      <c r="BG175" s="54"/>
      <c r="BH175" s="54"/>
      <c r="BI175" s="54"/>
      <c r="BJ175" s="54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2"/>
      <c r="CJ175" s="52"/>
      <c r="CK175" s="52"/>
      <c r="CL175" s="52"/>
      <c r="CM175" s="52"/>
      <c r="CN175" s="52"/>
      <c r="CO175" s="52"/>
      <c r="CP175" s="51"/>
      <c r="CQ175" s="51"/>
      <c r="CR175" s="51"/>
      <c r="CS175" s="51"/>
      <c r="CT175" s="51"/>
    </row>
    <row r="176" ht="21.0" customHeight="1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50"/>
      <c r="AG176" s="51"/>
      <c r="AH176" s="52"/>
      <c r="AI176" s="52"/>
      <c r="AJ176" s="52"/>
      <c r="AK176" s="52"/>
      <c r="AL176" s="52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4"/>
      <c r="AX176" s="54"/>
      <c r="AY176" s="54"/>
      <c r="AZ176" s="54"/>
      <c r="BA176" s="54"/>
      <c r="BB176" s="54"/>
      <c r="BC176" s="54"/>
      <c r="BD176" s="54"/>
      <c r="BE176" s="54"/>
      <c r="BF176" s="54"/>
      <c r="BG176" s="54"/>
      <c r="BH176" s="54"/>
      <c r="BI176" s="54"/>
      <c r="BJ176" s="54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2"/>
      <c r="CJ176" s="52"/>
      <c r="CK176" s="52"/>
      <c r="CL176" s="52"/>
      <c r="CM176" s="52"/>
      <c r="CN176" s="52"/>
      <c r="CO176" s="52"/>
      <c r="CP176" s="51"/>
      <c r="CQ176" s="51"/>
      <c r="CR176" s="51"/>
      <c r="CS176" s="51"/>
      <c r="CT176" s="51"/>
    </row>
    <row r="177" ht="21.0" customHeight="1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50"/>
      <c r="AG177" s="51"/>
      <c r="AH177" s="52"/>
      <c r="AI177" s="52"/>
      <c r="AJ177" s="52"/>
      <c r="AK177" s="52"/>
      <c r="AL177" s="52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4"/>
      <c r="AX177" s="54"/>
      <c r="AY177" s="54"/>
      <c r="AZ177" s="54"/>
      <c r="BA177" s="54"/>
      <c r="BB177" s="54"/>
      <c r="BC177" s="54"/>
      <c r="BD177" s="54"/>
      <c r="BE177" s="54"/>
      <c r="BF177" s="54"/>
      <c r="BG177" s="54"/>
      <c r="BH177" s="54"/>
      <c r="BI177" s="54"/>
      <c r="BJ177" s="54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2"/>
      <c r="CJ177" s="52"/>
      <c r="CK177" s="52"/>
      <c r="CL177" s="52"/>
      <c r="CM177" s="52"/>
      <c r="CN177" s="52"/>
      <c r="CO177" s="52"/>
      <c r="CP177" s="51"/>
      <c r="CQ177" s="51"/>
      <c r="CR177" s="51"/>
      <c r="CS177" s="51"/>
      <c r="CT177" s="51"/>
    </row>
    <row r="178" ht="21.0" customHeight="1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50"/>
      <c r="AG178" s="51"/>
      <c r="AH178" s="52"/>
      <c r="AI178" s="52"/>
      <c r="AJ178" s="52"/>
      <c r="AK178" s="52"/>
      <c r="AL178" s="52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4"/>
      <c r="AX178" s="54"/>
      <c r="AY178" s="54"/>
      <c r="AZ178" s="54"/>
      <c r="BA178" s="54"/>
      <c r="BB178" s="54"/>
      <c r="BC178" s="54"/>
      <c r="BD178" s="54"/>
      <c r="BE178" s="54"/>
      <c r="BF178" s="54"/>
      <c r="BG178" s="54"/>
      <c r="BH178" s="54"/>
      <c r="BI178" s="54"/>
      <c r="BJ178" s="54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2"/>
      <c r="CJ178" s="52"/>
      <c r="CK178" s="52"/>
      <c r="CL178" s="52"/>
      <c r="CM178" s="52"/>
      <c r="CN178" s="52"/>
      <c r="CO178" s="52"/>
      <c r="CP178" s="51"/>
      <c r="CQ178" s="51"/>
      <c r="CR178" s="51"/>
      <c r="CS178" s="51"/>
      <c r="CT178" s="51"/>
    </row>
    <row r="179" ht="21.0" customHeight="1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50"/>
      <c r="AG179" s="51"/>
      <c r="AH179" s="52"/>
      <c r="AI179" s="52"/>
      <c r="AJ179" s="52"/>
      <c r="AK179" s="52"/>
      <c r="AL179" s="52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4"/>
      <c r="AX179" s="54"/>
      <c r="AY179" s="54"/>
      <c r="AZ179" s="54"/>
      <c r="BA179" s="54"/>
      <c r="BB179" s="54"/>
      <c r="BC179" s="54"/>
      <c r="BD179" s="54"/>
      <c r="BE179" s="54"/>
      <c r="BF179" s="54"/>
      <c r="BG179" s="54"/>
      <c r="BH179" s="54"/>
      <c r="BI179" s="54"/>
      <c r="BJ179" s="54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2"/>
      <c r="CJ179" s="52"/>
      <c r="CK179" s="52"/>
      <c r="CL179" s="52"/>
      <c r="CM179" s="52"/>
      <c r="CN179" s="52"/>
      <c r="CO179" s="52"/>
      <c r="CP179" s="51"/>
      <c r="CQ179" s="51"/>
      <c r="CR179" s="51"/>
      <c r="CS179" s="51"/>
      <c r="CT179" s="51"/>
    </row>
    <row r="180" ht="21.0" customHeight="1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50"/>
      <c r="AG180" s="51"/>
      <c r="AH180" s="52"/>
      <c r="AI180" s="52"/>
      <c r="AJ180" s="52"/>
      <c r="AK180" s="52"/>
      <c r="AL180" s="52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4"/>
      <c r="AX180" s="54"/>
      <c r="AY180" s="54"/>
      <c r="AZ180" s="54"/>
      <c r="BA180" s="54"/>
      <c r="BB180" s="54"/>
      <c r="BC180" s="54"/>
      <c r="BD180" s="54"/>
      <c r="BE180" s="54"/>
      <c r="BF180" s="54"/>
      <c r="BG180" s="54"/>
      <c r="BH180" s="54"/>
      <c r="BI180" s="54"/>
      <c r="BJ180" s="54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2"/>
      <c r="CJ180" s="52"/>
      <c r="CK180" s="52"/>
      <c r="CL180" s="52"/>
      <c r="CM180" s="52"/>
      <c r="CN180" s="52"/>
      <c r="CO180" s="52"/>
      <c r="CP180" s="51"/>
      <c r="CQ180" s="51"/>
      <c r="CR180" s="51"/>
      <c r="CS180" s="51"/>
      <c r="CT180" s="51"/>
    </row>
    <row r="181" ht="21.0" customHeight="1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50"/>
      <c r="AG181" s="51"/>
      <c r="AH181" s="52"/>
      <c r="AI181" s="52"/>
      <c r="AJ181" s="52"/>
      <c r="AK181" s="52"/>
      <c r="AL181" s="52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4"/>
      <c r="AX181" s="54"/>
      <c r="AY181" s="54"/>
      <c r="AZ181" s="54"/>
      <c r="BA181" s="54"/>
      <c r="BB181" s="54"/>
      <c r="BC181" s="54"/>
      <c r="BD181" s="54"/>
      <c r="BE181" s="54"/>
      <c r="BF181" s="54"/>
      <c r="BG181" s="54"/>
      <c r="BH181" s="54"/>
      <c r="BI181" s="54"/>
      <c r="BJ181" s="54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2"/>
      <c r="CJ181" s="52"/>
      <c r="CK181" s="52"/>
      <c r="CL181" s="52"/>
      <c r="CM181" s="52"/>
      <c r="CN181" s="52"/>
      <c r="CO181" s="52"/>
      <c r="CP181" s="51"/>
      <c r="CQ181" s="51"/>
      <c r="CR181" s="51"/>
      <c r="CS181" s="51"/>
      <c r="CT181" s="51"/>
    </row>
    <row r="182" ht="21.0" customHeight="1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50"/>
      <c r="AG182" s="51"/>
      <c r="AH182" s="52"/>
      <c r="AI182" s="52"/>
      <c r="AJ182" s="52"/>
      <c r="AK182" s="52"/>
      <c r="AL182" s="52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4"/>
      <c r="AX182" s="54"/>
      <c r="AY182" s="54"/>
      <c r="AZ182" s="54"/>
      <c r="BA182" s="54"/>
      <c r="BB182" s="54"/>
      <c r="BC182" s="54"/>
      <c r="BD182" s="54"/>
      <c r="BE182" s="54"/>
      <c r="BF182" s="54"/>
      <c r="BG182" s="54"/>
      <c r="BH182" s="54"/>
      <c r="BI182" s="54"/>
      <c r="BJ182" s="54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2"/>
      <c r="CJ182" s="52"/>
      <c r="CK182" s="52"/>
      <c r="CL182" s="52"/>
      <c r="CM182" s="52"/>
      <c r="CN182" s="52"/>
      <c r="CO182" s="52"/>
      <c r="CP182" s="51"/>
      <c r="CQ182" s="51"/>
      <c r="CR182" s="51"/>
      <c r="CS182" s="51"/>
      <c r="CT182" s="51"/>
    </row>
    <row r="183" ht="21.0" customHeight="1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50"/>
      <c r="AG183" s="51"/>
      <c r="AH183" s="52"/>
      <c r="AI183" s="52"/>
      <c r="AJ183" s="52"/>
      <c r="AK183" s="52"/>
      <c r="AL183" s="52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4"/>
      <c r="AX183" s="54"/>
      <c r="AY183" s="54"/>
      <c r="AZ183" s="54"/>
      <c r="BA183" s="54"/>
      <c r="BB183" s="54"/>
      <c r="BC183" s="54"/>
      <c r="BD183" s="54"/>
      <c r="BE183" s="54"/>
      <c r="BF183" s="54"/>
      <c r="BG183" s="54"/>
      <c r="BH183" s="54"/>
      <c r="BI183" s="54"/>
      <c r="BJ183" s="54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2"/>
      <c r="CJ183" s="52"/>
      <c r="CK183" s="52"/>
      <c r="CL183" s="52"/>
      <c r="CM183" s="52"/>
      <c r="CN183" s="52"/>
      <c r="CO183" s="52"/>
      <c r="CP183" s="51"/>
      <c r="CQ183" s="51"/>
      <c r="CR183" s="51"/>
      <c r="CS183" s="51"/>
      <c r="CT183" s="51"/>
    </row>
    <row r="184" ht="21.0" customHeight="1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50"/>
      <c r="AG184" s="51"/>
      <c r="AH184" s="52"/>
      <c r="AI184" s="52"/>
      <c r="AJ184" s="52"/>
      <c r="AK184" s="52"/>
      <c r="AL184" s="52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4"/>
      <c r="AX184" s="54"/>
      <c r="AY184" s="54"/>
      <c r="AZ184" s="54"/>
      <c r="BA184" s="54"/>
      <c r="BB184" s="54"/>
      <c r="BC184" s="54"/>
      <c r="BD184" s="54"/>
      <c r="BE184" s="54"/>
      <c r="BF184" s="54"/>
      <c r="BG184" s="54"/>
      <c r="BH184" s="54"/>
      <c r="BI184" s="54"/>
      <c r="BJ184" s="54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2"/>
      <c r="CJ184" s="52"/>
      <c r="CK184" s="52"/>
      <c r="CL184" s="52"/>
      <c r="CM184" s="52"/>
      <c r="CN184" s="52"/>
      <c r="CO184" s="52"/>
      <c r="CP184" s="51"/>
      <c r="CQ184" s="51"/>
      <c r="CR184" s="51"/>
      <c r="CS184" s="51"/>
      <c r="CT184" s="51"/>
    </row>
    <row r="185" ht="21.0" customHeight="1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50"/>
      <c r="AG185" s="51"/>
      <c r="AH185" s="52"/>
      <c r="AI185" s="52"/>
      <c r="AJ185" s="52"/>
      <c r="AK185" s="52"/>
      <c r="AL185" s="52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4"/>
      <c r="AX185" s="54"/>
      <c r="AY185" s="54"/>
      <c r="AZ185" s="54"/>
      <c r="BA185" s="54"/>
      <c r="BB185" s="54"/>
      <c r="BC185" s="54"/>
      <c r="BD185" s="54"/>
      <c r="BE185" s="54"/>
      <c r="BF185" s="54"/>
      <c r="BG185" s="54"/>
      <c r="BH185" s="54"/>
      <c r="BI185" s="54"/>
      <c r="BJ185" s="54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2"/>
      <c r="CJ185" s="52"/>
      <c r="CK185" s="52"/>
      <c r="CL185" s="52"/>
      <c r="CM185" s="52"/>
      <c r="CN185" s="52"/>
      <c r="CO185" s="52"/>
      <c r="CP185" s="51"/>
      <c r="CQ185" s="51"/>
      <c r="CR185" s="51"/>
      <c r="CS185" s="51"/>
      <c r="CT185" s="51"/>
    </row>
    <row r="186" ht="21.0" customHeight="1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50"/>
      <c r="AG186" s="51"/>
      <c r="AH186" s="52"/>
      <c r="AI186" s="52"/>
      <c r="AJ186" s="52"/>
      <c r="AK186" s="52"/>
      <c r="AL186" s="52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4"/>
      <c r="AX186" s="54"/>
      <c r="AY186" s="54"/>
      <c r="AZ186" s="54"/>
      <c r="BA186" s="54"/>
      <c r="BB186" s="54"/>
      <c r="BC186" s="54"/>
      <c r="BD186" s="54"/>
      <c r="BE186" s="54"/>
      <c r="BF186" s="54"/>
      <c r="BG186" s="54"/>
      <c r="BH186" s="54"/>
      <c r="BI186" s="54"/>
      <c r="BJ186" s="54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2"/>
      <c r="CJ186" s="52"/>
      <c r="CK186" s="52"/>
      <c r="CL186" s="52"/>
      <c r="CM186" s="52"/>
      <c r="CN186" s="52"/>
      <c r="CO186" s="52"/>
      <c r="CP186" s="51"/>
      <c r="CQ186" s="51"/>
      <c r="CR186" s="51"/>
      <c r="CS186" s="51"/>
      <c r="CT186" s="51"/>
    </row>
    <row r="187" ht="21.0" customHeight="1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50"/>
      <c r="AG187" s="51"/>
      <c r="AH187" s="52"/>
      <c r="AI187" s="52"/>
      <c r="AJ187" s="52"/>
      <c r="AK187" s="52"/>
      <c r="AL187" s="52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4"/>
      <c r="AX187" s="54"/>
      <c r="AY187" s="54"/>
      <c r="AZ187" s="54"/>
      <c r="BA187" s="54"/>
      <c r="BB187" s="54"/>
      <c r="BC187" s="54"/>
      <c r="BD187" s="54"/>
      <c r="BE187" s="54"/>
      <c r="BF187" s="54"/>
      <c r="BG187" s="54"/>
      <c r="BH187" s="54"/>
      <c r="BI187" s="54"/>
      <c r="BJ187" s="54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2"/>
      <c r="CJ187" s="52"/>
      <c r="CK187" s="52"/>
      <c r="CL187" s="52"/>
      <c r="CM187" s="52"/>
      <c r="CN187" s="52"/>
      <c r="CO187" s="52"/>
      <c r="CP187" s="51"/>
      <c r="CQ187" s="51"/>
      <c r="CR187" s="51"/>
      <c r="CS187" s="51"/>
      <c r="CT187" s="51"/>
    </row>
    <row r="188" ht="21.0" customHeight="1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50"/>
      <c r="AG188" s="51"/>
      <c r="AH188" s="52"/>
      <c r="AI188" s="52"/>
      <c r="AJ188" s="52"/>
      <c r="AK188" s="52"/>
      <c r="AL188" s="52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4"/>
      <c r="AX188" s="54"/>
      <c r="AY188" s="54"/>
      <c r="AZ188" s="54"/>
      <c r="BA188" s="54"/>
      <c r="BB188" s="54"/>
      <c r="BC188" s="54"/>
      <c r="BD188" s="54"/>
      <c r="BE188" s="54"/>
      <c r="BF188" s="54"/>
      <c r="BG188" s="54"/>
      <c r="BH188" s="54"/>
      <c r="BI188" s="54"/>
      <c r="BJ188" s="54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2"/>
      <c r="CJ188" s="52"/>
      <c r="CK188" s="52"/>
      <c r="CL188" s="52"/>
      <c r="CM188" s="52"/>
      <c r="CN188" s="52"/>
      <c r="CO188" s="52"/>
      <c r="CP188" s="51"/>
      <c r="CQ188" s="51"/>
      <c r="CR188" s="51"/>
      <c r="CS188" s="51"/>
      <c r="CT188" s="51"/>
    </row>
    <row r="189" ht="21.0" customHeight="1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50"/>
      <c r="AG189" s="51"/>
      <c r="AH189" s="52"/>
      <c r="AI189" s="52"/>
      <c r="AJ189" s="52"/>
      <c r="AK189" s="52"/>
      <c r="AL189" s="52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4"/>
      <c r="AX189" s="54"/>
      <c r="AY189" s="54"/>
      <c r="AZ189" s="54"/>
      <c r="BA189" s="54"/>
      <c r="BB189" s="54"/>
      <c r="BC189" s="54"/>
      <c r="BD189" s="54"/>
      <c r="BE189" s="54"/>
      <c r="BF189" s="54"/>
      <c r="BG189" s="54"/>
      <c r="BH189" s="54"/>
      <c r="BI189" s="54"/>
      <c r="BJ189" s="54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2"/>
      <c r="CJ189" s="52"/>
      <c r="CK189" s="52"/>
      <c r="CL189" s="52"/>
      <c r="CM189" s="52"/>
      <c r="CN189" s="52"/>
      <c r="CO189" s="52"/>
      <c r="CP189" s="51"/>
      <c r="CQ189" s="51"/>
      <c r="CR189" s="51"/>
      <c r="CS189" s="51"/>
      <c r="CT189" s="51"/>
    </row>
    <row r="190" ht="21.0" customHeight="1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50"/>
      <c r="AG190" s="51"/>
      <c r="AH190" s="52"/>
      <c r="AI190" s="52"/>
      <c r="AJ190" s="52"/>
      <c r="AK190" s="52"/>
      <c r="AL190" s="52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4"/>
      <c r="AX190" s="54"/>
      <c r="AY190" s="54"/>
      <c r="AZ190" s="54"/>
      <c r="BA190" s="54"/>
      <c r="BB190" s="54"/>
      <c r="BC190" s="54"/>
      <c r="BD190" s="54"/>
      <c r="BE190" s="54"/>
      <c r="BF190" s="54"/>
      <c r="BG190" s="54"/>
      <c r="BH190" s="54"/>
      <c r="BI190" s="54"/>
      <c r="BJ190" s="54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2"/>
      <c r="CJ190" s="52"/>
      <c r="CK190" s="52"/>
      <c r="CL190" s="52"/>
      <c r="CM190" s="52"/>
      <c r="CN190" s="52"/>
      <c r="CO190" s="52"/>
      <c r="CP190" s="51"/>
      <c r="CQ190" s="51"/>
      <c r="CR190" s="51"/>
      <c r="CS190" s="51"/>
      <c r="CT190" s="51"/>
    </row>
    <row r="191" ht="21.0" customHeight="1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50"/>
      <c r="AG191" s="51"/>
      <c r="AH191" s="52"/>
      <c r="AI191" s="52"/>
      <c r="AJ191" s="52"/>
      <c r="AK191" s="52"/>
      <c r="AL191" s="52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4"/>
      <c r="AX191" s="54"/>
      <c r="AY191" s="54"/>
      <c r="AZ191" s="54"/>
      <c r="BA191" s="54"/>
      <c r="BB191" s="54"/>
      <c r="BC191" s="54"/>
      <c r="BD191" s="54"/>
      <c r="BE191" s="54"/>
      <c r="BF191" s="54"/>
      <c r="BG191" s="54"/>
      <c r="BH191" s="54"/>
      <c r="BI191" s="54"/>
      <c r="BJ191" s="54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2"/>
      <c r="CJ191" s="52"/>
      <c r="CK191" s="52"/>
      <c r="CL191" s="52"/>
      <c r="CM191" s="52"/>
      <c r="CN191" s="52"/>
      <c r="CO191" s="52"/>
      <c r="CP191" s="51"/>
      <c r="CQ191" s="51"/>
      <c r="CR191" s="51"/>
      <c r="CS191" s="51"/>
      <c r="CT191" s="51"/>
    </row>
    <row r="192" ht="21.0" customHeight="1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50"/>
      <c r="AG192" s="51"/>
      <c r="AH192" s="52"/>
      <c r="AI192" s="52"/>
      <c r="AJ192" s="52"/>
      <c r="AK192" s="52"/>
      <c r="AL192" s="52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4"/>
      <c r="AX192" s="54"/>
      <c r="AY192" s="54"/>
      <c r="AZ192" s="54"/>
      <c r="BA192" s="54"/>
      <c r="BB192" s="54"/>
      <c r="BC192" s="54"/>
      <c r="BD192" s="54"/>
      <c r="BE192" s="54"/>
      <c r="BF192" s="54"/>
      <c r="BG192" s="54"/>
      <c r="BH192" s="54"/>
      <c r="BI192" s="54"/>
      <c r="BJ192" s="54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2"/>
      <c r="CJ192" s="52"/>
      <c r="CK192" s="52"/>
      <c r="CL192" s="52"/>
      <c r="CM192" s="52"/>
      <c r="CN192" s="52"/>
      <c r="CO192" s="52"/>
      <c r="CP192" s="51"/>
      <c r="CQ192" s="51"/>
      <c r="CR192" s="51"/>
      <c r="CS192" s="51"/>
      <c r="CT192" s="51"/>
    </row>
    <row r="193" ht="21.0" customHeight="1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50"/>
      <c r="AG193" s="51"/>
      <c r="AH193" s="52"/>
      <c r="AI193" s="52"/>
      <c r="AJ193" s="52"/>
      <c r="AK193" s="52"/>
      <c r="AL193" s="52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4"/>
      <c r="AX193" s="54"/>
      <c r="AY193" s="54"/>
      <c r="AZ193" s="54"/>
      <c r="BA193" s="54"/>
      <c r="BB193" s="54"/>
      <c r="BC193" s="54"/>
      <c r="BD193" s="54"/>
      <c r="BE193" s="54"/>
      <c r="BF193" s="54"/>
      <c r="BG193" s="54"/>
      <c r="BH193" s="54"/>
      <c r="BI193" s="54"/>
      <c r="BJ193" s="54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2"/>
      <c r="CJ193" s="52"/>
      <c r="CK193" s="52"/>
      <c r="CL193" s="52"/>
      <c r="CM193" s="52"/>
      <c r="CN193" s="52"/>
      <c r="CO193" s="52"/>
      <c r="CP193" s="51"/>
      <c r="CQ193" s="51"/>
      <c r="CR193" s="51"/>
      <c r="CS193" s="51"/>
      <c r="CT193" s="51"/>
    </row>
    <row r="194" ht="21.0" customHeight="1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50"/>
      <c r="AG194" s="51"/>
      <c r="AH194" s="52"/>
      <c r="AI194" s="52"/>
      <c r="AJ194" s="52"/>
      <c r="AK194" s="52"/>
      <c r="AL194" s="52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4"/>
      <c r="AX194" s="54"/>
      <c r="AY194" s="54"/>
      <c r="AZ194" s="54"/>
      <c r="BA194" s="54"/>
      <c r="BB194" s="54"/>
      <c r="BC194" s="54"/>
      <c r="BD194" s="54"/>
      <c r="BE194" s="54"/>
      <c r="BF194" s="54"/>
      <c r="BG194" s="54"/>
      <c r="BH194" s="54"/>
      <c r="BI194" s="54"/>
      <c r="BJ194" s="54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2"/>
      <c r="CJ194" s="52"/>
      <c r="CK194" s="52"/>
      <c r="CL194" s="52"/>
      <c r="CM194" s="52"/>
      <c r="CN194" s="52"/>
      <c r="CO194" s="52"/>
      <c r="CP194" s="51"/>
      <c r="CQ194" s="51"/>
      <c r="CR194" s="51"/>
      <c r="CS194" s="51"/>
      <c r="CT194" s="51"/>
    </row>
    <row r="195" ht="21.0" customHeight="1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50"/>
      <c r="AG195" s="51"/>
      <c r="AH195" s="52"/>
      <c r="AI195" s="52"/>
      <c r="AJ195" s="52"/>
      <c r="AK195" s="52"/>
      <c r="AL195" s="52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4"/>
      <c r="AX195" s="54"/>
      <c r="AY195" s="54"/>
      <c r="AZ195" s="54"/>
      <c r="BA195" s="54"/>
      <c r="BB195" s="54"/>
      <c r="BC195" s="54"/>
      <c r="BD195" s="54"/>
      <c r="BE195" s="54"/>
      <c r="BF195" s="54"/>
      <c r="BG195" s="54"/>
      <c r="BH195" s="54"/>
      <c r="BI195" s="54"/>
      <c r="BJ195" s="54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2"/>
      <c r="CJ195" s="52"/>
      <c r="CK195" s="52"/>
      <c r="CL195" s="52"/>
      <c r="CM195" s="52"/>
      <c r="CN195" s="52"/>
      <c r="CO195" s="52"/>
      <c r="CP195" s="51"/>
      <c r="CQ195" s="51"/>
      <c r="CR195" s="51"/>
      <c r="CS195" s="51"/>
      <c r="CT195" s="51"/>
    </row>
    <row r="196" ht="21.0" customHeight="1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50"/>
      <c r="AG196" s="51"/>
      <c r="AH196" s="52"/>
      <c r="AI196" s="52"/>
      <c r="AJ196" s="52"/>
      <c r="AK196" s="52"/>
      <c r="AL196" s="52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4"/>
      <c r="AX196" s="54"/>
      <c r="AY196" s="54"/>
      <c r="AZ196" s="54"/>
      <c r="BA196" s="54"/>
      <c r="BB196" s="54"/>
      <c r="BC196" s="54"/>
      <c r="BD196" s="54"/>
      <c r="BE196" s="54"/>
      <c r="BF196" s="54"/>
      <c r="BG196" s="54"/>
      <c r="BH196" s="54"/>
      <c r="BI196" s="54"/>
      <c r="BJ196" s="54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2"/>
      <c r="CJ196" s="52"/>
      <c r="CK196" s="52"/>
      <c r="CL196" s="52"/>
      <c r="CM196" s="52"/>
      <c r="CN196" s="52"/>
      <c r="CO196" s="52"/>
      <c r="CP196" s="51"/>
      <c r="CQ196" s="51"/>
      <c r="CR196" s="51"/>
      <c r="CS196" s="51"/>
      <c r="CT196" s="51"/>
    </row>
    <row r="197" ht="21.0" customHeight="1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50"/>
      <c r="AG197" s="51"/>
      <c r="AH197" s="52"/>
      <c r="AI197" s="52"/>
      <c r="AJ197" s="52"/>
      <c r="AK197" s="52"/>
      <c r="AL197" s="52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4"/>
      <c r="AX197" s="54"/>
      <c r="AY197" s="54"/>
      <c r="AZ197" s="54"/>
      <c r="BA197" s="54"/>
      <c r="BB197" s="54"/>
      <c r="BC197" s="54"/>
      <c r="BD197" s="54"/>
      <c r="BE197" s="54"/>
      <c r="BF197" s="54"/>
      <c r="BG197" s="54"/>
      <c r="BH197" s="54"/>
      <c r="BI197" s="54"/>
      <c r="BJ197" s="54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2"/>
      <c r="CJ197" s="52"/>
      <c r="CK197" s="52"/>
      <c r="CL197" s="52"/>
      <c r="CM197" s="52"/>
      <c r="CN197" s="52"/>
      <c r="CO197" s="52"/>
      <c r="CP197" s="51"/>
      <c r="CQ197" s="51"/>
      <c r="CR197" s="51"/>
      <c r="CS197" s="51"/>
      <c r="CT197" s="51"/>
    </row>
    <row r="198" ht="21.0" customHeight="1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50"/>
      <c r="AG198" s="51"/>
      <c r="AH198" s="52"/>
      <c r="AI198" s="52"/>
      <c r="AJ198" s="52"/>
      <c r="AK198" s="52"/>
      <c r="AL198" s="52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4"/>
      <c r="AX198" s="54"/>
      <c r="AY198" s="54"/>
      <c r="AZ198" s="54"/>
      <c r="BA198" s="54"/>
      <c r="BB198" s="54"/>
      <c r="BC198" s="54"/>
      <c r="BD198" s="54"/>
      <c r="BE198" s="54"/>
      <c r="BF198" s="54"/>
      <c r="BG198" s="54"/>
      <c r="BH198" s="54"/>
      <c r="BI198" s="54"/>
      <c r="BJ198" s="54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2"/>
      <c r="CJ198" s="52"/>
      <c r="CK198" s="52"/>
      <c r="CL198" s="52"/>
      <c r="CM198" s="52"/>
      <c r="CN198" s="52"/>
      <c r="CO198" s="52"/>
      <c r="CP198" s="51"/>
      <c r="CQ198" s="51"/>
      <c r="CR198" s="51"/>
      <c r="CS198" s="51"/>
      <c r="CT198" s="51"/>
    </row>
    <row r="199" ht="21.0" customHeight="1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50"/>
      <c r="AG199" s="51"/>
      <c r="AH199" s="52"/>
      <c r="AI199" s="52"/>
      <c r="AJ199" s="52"/>
      <c r="AK199" s="52"/>
      <c r="AL199" s="52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4"/>
      <c r="AX199" s="54"/>
      <c r="AY199" s="54"/>
      <c r="AZ199" s="54"/>
      <c r="BA199" s="54"/>
      <c r="BB199" s="54"/>
      <c r="BC199" s="54"/>
      <c r="BD199" s="54"/>
      <c r="BE199" s="54"/>
      <c r="BF199" s="54"/>
      <c r="BG199" s="54"/>
      <c r="BH199" s="54"/>
      <c r="BI199" s="54"/>
      <c r="BJ199" s="54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2"/>
      <c r="CJ199" s="52"/>
      <c r="CK199" s="52"/>
      <c r="CL199" s="52"/>
      <c r="CM199" s="52"/>
      <c r="CN199" s="52"/>
      <c r="CO199" s="52"/>
      <c r="CP199" s="51"/>
      <c r="CQ199" s="51"/>
      <c r="CR199" s="51"/>
      <c r="CS199" s="51"/>
      <c r="CT199" s="51"/>
    </row>
    <row r="200" ht="21.0" customHeight="1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50"/>
      <c r="AG200" s="51"/>
      <c r="AH200" s="52"/>
      <c r="AI200" s="52"/>
      <c r="AJ200" s="52"/>
      <c r="AK200" s="52"/>
      <c r="AL200" s="52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4"/>
      <c r="AX200" s="54"/>
      <c r="AY200" s="54"/>
      <c r="AZ200" s="54"/>
      <c r="BA200" s="54"/>
      <c r="BB200" s="54"/>
      <c r="BC200" s="54"/>
      <c r="BD200" s="54"/>
      <c r="BE200" s="54"/>
      <c r="BF200" s="54"/>
      <c r="BG200" s="54"/>
      <c r="BH200" s="54"/>
      <c r="BI200" s="54"/>
      <c r="BJ200" s="54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2"/>
      <c r="CJ200" s="52"/>
      <c r="CK200" s="52"/>
      <c r="CL200" s="52"/>
      <c r="CM200" s="52"/>
      <c r="CN200" s="52"/>
      <c r="CO200" s="52"/>
      <c r="CP200" s="51"/>
      <c r="CQ200" s="51"/>
      <c r="CR200" s="51"/>
      <c r="CS200" s="51"/>
      <c r="CT200" s="51"/>
    </row>
    <row r="201" ht="21.0" customHeight="1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50"/>
      <c r="AG201" s="51"/>
      <c r="AH201" s="52"/>
      <c r="AI201" s="52"/>
      <c r="AJ201" s="52"/>
      <c r="AK201" s="52"/>
      <c r="AL201" s="52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4"/>
      <c r="AX201" s="54"/>
      <c r="AY201" s="54"/>
      <c r="AZ201" s="54"/>
      <c r="BA201" s="54"/>
      <c r="BB201" s="54"/>
      <c r="BC201" s="54"/>
      <c r="BD201" s="54"/>
      <c r="BE201" s="54"/>
      <c r="BF201" s="54"/>
      <c r="BG201" s="54"/>
      <c r="BH201" s="54"/>
      <c r="BI201" s="54"/>
      <c r="BJ201" s="54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2"/>
      <c r="CJ201" s="52"/>
      <c r="CK201" s="52"/>
      <c r="CL201" s="52"/>
      <c r="CM201" s="52"/>
      <c r="CN201" s="52"/>
      <c r="CO201" s="52"/>
      <c r="CP201" s="51"/>
      <c r="CQ201" s="51"/>
      <c r="CR201" s="51"/>
      <c r="CS201" s="51"/>
      <c r="CT201" s="51"/>
    </row>
    <row r="202" ht="21.0" customHeight="1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50"/>
      <c r="AG202" s="51"/>
      <c r="AH202" s="52"/>
      <c r="AI202" s="52"/>
      <c r="AJ202" s="52"/>
      <c r="AK202" s="52"/>
      <c r="AL202" s="52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4"/>
      <c r="AX202" s="54"/>
      <c r="AY202" s="54"/>
      <c r="AZ202" s="54"/>
      <c r="BA202" s="54"/>
      <c r="BB202" s="54"/>
      <c r="BC202" s="54"/>
      <c r="BD202" s="54"/>
      <c r="BE202" s="54"/>
      <c r="BF202" s="54"/>
      <c r="BG202" s="54"/>
      <c r="BH202" s="54"/>
      <c r="BI202" s="54"/>
      <c r="BJ202" s="54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2"/>
      <c r="CJ202" s="52"/>
      <c r="CK202" s="52"/>
      <c r="CL202" s="52"/>
      <c r="CM202" s="52"/>
      <c r="CN202" s="52"/>
      <c r="CO202" s="52"/>
      <c r="CP202" s="51"/>
      <c r="CQ202" s="51"/>
      <c r="CR202" s="51"/>
      <c r="CS202" s="51"/>
      <c r="CT202" s="51"/>
    </row>
    <row r="203" ht="21.0" customHeight="1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50"/>
      <c r="AG203" s="51"/>
      <c r="AH203" s="52"/>
      <c r="AI203" s="52"/>
      <c r="AJ203" s="52"/>
      <c r="AK203" s="52"/>
      <c r="AL203" s="52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4"/>
      <c r="AX203" s="54"/>
      <c r="AY203" s="54"/>
      <c r="AZ203" s="54"/>
      <c r="BA203" s="54"/>
      <c r="BB203" s="54"/>
      <c r="BC203" s="54"/>
      <c r="BD203" s="54"/>
      <c r="BE203" s="54"/>
      <c r="BF203" s="54"/>
      <c r="BG203" s="54"/>
      <c r="BH203" s="54"/>
      <c r="BI203" s="54"/>
      <c r="BJ203" s="54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2"/>
      <c r="CJ203" s="52"/>
      <c r="CK203" s="52"/>
      <c r="CL203" s="52"/>
      <c r="CM203" s="52"/>
      <c r="CN203" s="52"/>
      <c r="CO203" s="52"/>
      <c r="CP203" s="51"/>
      <c r="CQ203" s="51"/>
      <c r="CR203" s="51"/>
      <c r="CS203" s="51"/>
      <c r="CT203" s="51"/>
    </row>
    <row r="204" ht="21.0" customHeight="1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50"/>
      <c r="AG204" s="51"/>
      <c r="AH204" s="52"/>
      <c r="AI204" s="52"/>
      <c r="AJ204" s="52"/>
      <c r="AK204" s="52"/>
      <c r="AL204" s="52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4"/>
      <c r="AX204" s="54"/>
      <c r="AY204" s="54"/>
      <c r="AZ204" s="54"/>
      <c r="BA204" s="54"/>
      <c r="BB204" s="54"/>
      <c r="BC204" s="54"/>
      <c r="BD204" s="54"/>
      <c r="BE204" s="54"/>
      <c r="BF204" s="54"/>
      <c r="BG204" s="54"/>
      <c r="BH204" s="54"/>
      <c r="BI204" s="54"/>
      <c r="BJ204" s="54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2"/>
      <c r="CJ204" s="52"/>
      <c r="CK204" s="52"/>
      <c r="CL204" s="52"/>
      <c r="CM204" s="52"/>
      <c r="CN204" s="52"/>
      <c r="CO204" s="52"/>
      <c r="CP204" s="51"/>
      <c r="CQ204" s="51"/>
      <c r="CR204" s="51"/>
      <c r="CS204" s="51"/>
      <c r="CT204" s="51"/>
    </row>
    <row r="205" ht="21.0" customHeight="1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50"/>
      <c r="AG205" s="51"/>
      <c r="AH205" s="52"/>
      <c r="AI205" s="52"/>
      <c r="AJ205" s="52"/>
      <c r="AK205" s="52"/>
      <c r="AL205" s="52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4"/>
      <c r="AX205" s="54"/>
      <c r="AY205" s="54"/>
      <c r="AZ205" s="54"/>
      <c r="BA205" s="54"/>
      <c r="BB205" s="54"/>
      <c r="BC205" s="54"/>
      <c r="BD205" s="54"/>
      <c r="BE205" s="54"/>
      <c r="BF205" s="54"/>
      <c r="BG205" s="54"/>
      <c r="BH205" s="54"/>
      <c r="BI205" s="54"/>
      <c r="BJ205" s="54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2"/>
      <c r="CJ205" s="52"/>
      <c r="CK205" s="52"/>
      <c r="CL205" s="52"/>
      <c r="CM205" s="52"/>
      <c r="CN205" s="52"/>
      <c r="CO205" s="52"/>
      <c r="CP205" s="51"/>
      <c r="CQ205" s="51"/>
      <c r="CR205" s="51"/>
      <c r="CS205" s="51"/>
      <c r="CT205" s="51"/>
    </row>
    <row r="206" ht="21.0" customHeight="1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50"/>
      <c r="AG206" s="51"/>
      <c r="AH206" s="52"/>
      <c r="AI206" s="52"/>
      <c r="AJ206" s="52"/>
      <c r="AK206" s="52"/>
      <c r="AL206" s="52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4"/>
      <c r="AX206" s="54"/>
      <c r="AY206" s="54"/>
      <c r="AZ206" s="54"/>
      <c r="BA206" s="54"/>
      <c r="BB206" s="54"/>
      <c r="BC206" s="54"/>
      <c r="BD206" s="54"/>
      <c r="BE206" s="54"/>
      <c r="BF206" s="54"/>
      <c r="BG206" s="54"/>
      <c r="BH206" s="54"/>
      <c r="BI206" s="54"/>
      <c r="BJ206" s="54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2"/>
      <c r="CJ206" s="52"/>
      <c r="CK206" s="52"/>
      <c r="CL206" s="52"/>
      <c r="CM206" s="52"/>
      <c r="CN206" s="52"/>
      <c r="CO206" s="52"/>
      <c r="CP206" s="51"/>
      <c r="CQ206" s="51"/>
      <c r="CR206" s="51"/>
      <c r="CS206" s="51"/>
      <c r="CT206" s="51"/>
    </row>
    <row r="207" ht="21.0" customHeight="1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50"/>
      <c r="AG207" s="51"/>
      <c r="AH207" s="52"/>
      <c r="AI207" s="52"/>
      <c r="AJ207" s="52"/>
      <c r="AK207" s="52"/>
      <c r="AL207" s="52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  <c r="BI207" s="54"/>
      <c r="BJ207" s="54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2"/>
      <c r="CJ207" s="52"/>
      <c r="CK207" s="52"/>
      <c r="CL207" s="52"/>
      <c r="CM207" s="52"/>
      <c r="CN207" s="52"/>
      <c r="CO207" s="52"/>
      <c r="CP207" s="51"/>
      <c r="CQ207" s="51"/>
      <c r="CR207" s="51"/>
      <c r="CS207" s="51"/>
      <c r="CT207" s="51"/>
    </row>
    <row r="208" ht="21.0" customHeight="1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50"/>
      <c r="AG208" s="51"/>
      <c r="AH208" s="52"/>
      <c r="AI208" s="52"/>
      <c r="AJ208" s="52"/>
      <c r="AK208" s="52"/>
      <c r="AL208" s="52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4"/>
      <c r="AX208" s="54"/>
      <c r="AY208" s="54"/>
      <c r="AZ208" s="54"/>
      <c r="BA208" s="54"/>
      <c r="BB208" s="54"/>
      <c r="BC208" s="54"/>
      <c r="BD208" s="54"/>
      <c r="BE208" s="54"/>
      <c r="BF208" s="54"/>
      <c r="BG208" s="54"/>
      <c r="BH208" s="54"/>
      <c r="BI208" s="54"/>
      <c r="BJ208" s="54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2"/>
      <c r="CJ208" s="52"/>
      <c r="CK208" s="52"/>
      <c r="CL208" s="52"/>
      <c r="CM208" s="52"/>
      <c r="CN208" s="52"/>
      <c r="CO208" s="52"/>
      <c r="CP208" s="51"/>
      <c r="CQ208" s="51"/>
      <c r="CR208" s="51"/>
      <c r="CS208" s="51"/>
      <c r="CT208" s="51"/>
    </row>
    <row r="209" ht="21.0" customHeight="1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50"/>
      <c r="AG209" s="51"/>
      <c r="AH209" s="52"/>
      <c r="AI209" s="52"/>
      <c r="AJ209" s="52"/>
      <c r="AK209" s="52"/>
      <c r="AL209" s="52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4"/>
      <c r="AX209" s="54"/>
      <c r="AY209" s="54"/>
      <c r="AZ209" s="54"/>
      <c r="BA209" s="54"/>
      <c r="BB209" s="54"/>
      <c r="BC209" s="54"/>
      <c r="BD209" s="54"/>
      <c r="BE209" s="54"/>
      <c r="BF209" s="54"/>
      <c r="BG209" s="54"/>
      <c r="BH209" s="54"/>
      <c r="BI209" s="54"/>
      <c r="BJ209" s="54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2"/>
      <c r="CJ209" s="52"/>
      <c r="CK209" s="52"/>
      <c r="CL209" s="52"/>
      <c r="CM209" s="52"/>
      <c r="CN209" s="52"/>
      <c r="CO209" s="52"/>
      <c r="CP209" s="51"/>
      <c r="CQ209" s="51"/>
      <c r="CR209" s="51"/>
      <c r="CS209" s="51"/>
      <c r="CT209" s="51"/>
    </row>
    <row r="210" ht="21.0" customHeight="1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50"/>
      <c r="AG210" s="51"/>
      <c r="AH210" s="52"/>
      <c r="AI210" s="52"/>
      <c r="AJ210" s="52"/>
      <c r="AK210" s="52"/>
      <c r="AL210" s="52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4"/>
      <c r="AX210" s="54"/>
      <c r="AY210" s="54"/>
      <c r="AZ210" s="54"/>
      <c r="BA210" s="54"/>
      <c r="BB210" s="54"/>
      <c r="BC210" s="54"/>
      <c r="BD210" s="54"/>
      <c r="BE210" s="54"/>
      <c r="BF210" s="54"/>
      <c r="BG210" s="54"/>
      <c r="BH210" s="54"/>
      <c r="BI210" s="54"/>
      <c r="BJ210" s="54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2"/>
      <c r="CJ210" s="52"/>
      <c r="CK210" s="52"/>
      <c r="CL210" s="52"/>
      <c r="CM210" s="52"/>
      <c r="CN210" s="52"/>
      <c r="CO210" s="52"/>
      <c r="CP210" s="51"/>
      <c r="CQ210" s="51"/>
      <c r="CR210" s="51"/>
      <c r="CS210" s="51"/>
      <c r="CT210" s="51"/>
    </row>
    <row r="211" ht="21.0" customHeight="1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50"/>
      <c r="AG211" s="51"/>
      <c r="AH211" s="52"/>
      <c r="AI211" s="52"/>
      <c r="AJ211" s="52"/>
      <c r="AK211" s="52"/>
      <c r="AL211" s="52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4"/>
      <c r="AX211" s="54"/>
      <c r="AY211" s="54"/>
      <c r="AZ211" s="54"/>
      <c r="BA211" s="54"/>
      <c r="BB211" s="54"/>
      <c r="BC211" s="54"/>
      <c r="BD211" s="54"/>
      <c r="BE211" s="54"/>
      <c r="BF211" s="54"/>
      <c r="BG211" s="54"/>
      <c r="BH211" s="54"/>
      <c r="BI211" s="54"/>
      <c r="BJ211" s="54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2"/>
      <c r="CJ211" s="52"/>
      <c r="CK211" s="52"/>
      <c r="CL211" s="52"/>
      <c r="CM211" s="52"/>
      <c r="CN211" s="52"/>
      <c r="CO211" s="52"/>
      <c r="CP211" s="51"/>
      <c r="CQ211" s="51"/>
      <c r="CR211" s="51"/>
      <c r="CS211" s="51"/>
      <c r="CT211" s="51"/>
    </row>
    <row r="212" ht="21.0" customHeight="1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50"/>
      <c r="AG212" s="51"/>
      <c r="AH212" s="52"/>
      <c r="AI212" s="52"/>
      <c r="AJ212" s="52"/>
      <c r="AK212" s="52"/>
      <c r="AL212" s="52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4"/>
      <c r="AX212" s="54"/>
      <c r="AY212" s="54"/>
      <c r="AZ212" s="54"/>
      <c r="BA212" s="54"/>
      <c r="BB212" s="54"/>
      <c r="BC212" s="54"/>
      <c r="BD212" s="54"/>
      <c r="BE212" s="54"/>
      <c r="BF212" s="54"/>
      <c r="BG212" s="54"/>
      <c r="BH212" s="54"/>
      <c r="BI212" s="54"/>
      <c r="BJ212" s="54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2"/>
      <c r="CJ212" s="52"/>
      <c r="CK212" s="52"/>
      <c r="CL212" s="52"/>
      <c r="CM212" s="52"/>
      <c r="CN212" s="52"/>
      <c r="CO212" s="52"/>
      <c r="CP212" s="51"/>
      <c r="CQ212" s="51"/>
      <c r="CR212" s="51"/>
      <c r="CS212" s="51"/>
      <c r="CT212" s="51"/>
    </row>
    <row r="213" ht="21.0" customHeight="1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50"/>
      <c r="AG213" s="51"/>
      <c r="AH213" s="52"/>
      <c r="AI213" s="52"/>
      <c r="AJ213" s="52"/>
      <c r="AK213" s="52"/>
      <c r="AL213" s="52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4"/>
      <c r="AX213" s="54"/>
      <c r="AY213" s="54"/>
      <c r="AZ213" s="54"/>
      <c r="BA213" s="54"/>
      <c r="BB213" s="54"/>
      <c r="BC213" s="54"/>
      <c r="BD213" s="54"/>
      <c r="BE213" s="54"/>
      <c r="BF213" s="54"/>
      <c r="BG213" s="54"/>
      <c r="BH213" s="54"/>
      <c r="BI213" s="54"/>
      <c r="BJ213" s="54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2"/>
      <c r="CJ213" s="52"/>
      <c r="CK213" s="52"/>
      <c r="CL213" s="52"/>
      <c r="CM213" s="52"/>
      <c r="CN213" s="52"/>
      <c r="CO213" s="52"/>
      <c r="CP213" s="51"/>
      <c r="CQ213" s="51"/>
      <c r="CR213" s="51"/>
      <c r="CS213" s="51"/>
      <c r="CT213" s="51"/>
    </row>
    <row r="214" ht="21.0" customHeight="1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50"/>
      <c r="AG214" s="51"/>
      <c r="AH214" s="52"/>
      <c r="AI214" s="52"/>
      <c r="AJ214" s="52"/>
      <c r="AK214" s="52"/>
      <c r="AL214" s="52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4"/>
      <c r="AX214" s="54"/>
      <c r="AY214" s="54"/>
      <c r="AZ214" s="54"/>
      <c r="BA214" s="54"/>
      <c r="BB214" s="54"/>
      <c r="BC214" s="54"/>
      <c r="BD214" s="54"/>
      <c r="BE214" s="54"/>
      <c r="BF214" s="54"/>
      <c r="BG214" s="54"/>
      <c r="BH214" s="54"/>
      <c r="BI214" s="54"/>
      <c r="BJ214" s="54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2"/>
      <c r="CJ214" s="52"/>
      <c r="CK214" s="52"/>
      <c r="CL214" s="52"/>
      <c r="CM214" s="52"/>
      <c r="CN214" s="52"/>
      <c r="CO214" s="52"/>
      <c r="CP214" s="51"/>
      <c r="CQ214" s="51"/>
      <c r="CR214" s="51"/>
      <c r="CS214" s="51"/>
      <c r="CT214" s="51"/>
    </row>
    <row r="215" ht="21.0" customHeight="1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50"/>
      <c r="AG215" s="51"/>
      <c r="AH215" s="52"/>
      <c r="AI215" s="52"/>
      <c r="AJ215" s="52"/>
      <c r="AK215" s="52"/>
      <c r="AL215" s="52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4"/>
      <c r="AX215" s="54"/>
      <c r="AY215" s="54"/>
      <c r="AZ215" s="54"/>
      <c r="BA215" s="54"/>
      <c r="BB215" s="54"/>
      <c r="BC215" s="54"/>
      <c r="BD215" s="54"/>
      <c r="BE215" s="54"/>
      <c r="BF215" s="54"/>
      <c r="BG215" s="54"/>
      <c r="BH215" s="54"/>
      <c r="BI215" s="54"/>
      <c r="BJ215" s="54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2"/>
      <c r="CJ215" s="52"/>
      <c r="CK215" s="52"/>
      <c r="CL215" s="52"/>
      <c r="CM215" s="52"/>
      <c r="CN215" s="52"/>
      <c r="CO215" s="52"/>
      <c r="CP215" s="51"/>
      <c r="CQ215" s="51"/>
      <c r="CR215" s="51"/>
      <c r="CS215" s="51"/>
      <c r="CT215" s="51"/>
    </row>
    <row r="216" ht="21.0" customHeight="1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50"/>
      <c r="AG216" s="51"/>
      <c r="AH216" s="52"/>
      <c r="AI216" s="52"/>
      <c r="AJ216" s="52"/>
      <c r="AK216" s="52"/>
      <c r="AL216" s="52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4"/>
      <c r="AX216" s="54"/>
      <c r="AY216" s="54"/>
      <c r="AZ216" s="54"/>
      <c r="BA216" s="54"/>
      <c r="BB216" s="54"/>
      <c r="BC216" s="54"/>
      <c r="BD216" s="54"/>
      <c r="BE216" s="54"/>
      <c r="BF216" s="54"/>
      <c r="BG216" s="54"/>
      <c r="BH216" s="54"/>
      <c r="BI216" s="54"/>
      <c r="BJ216" s="54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2"/>
      <c r="CJ216" s="52"/>
      <c r="CK216" s="52"/>
      <c r="CL216" s="52"/>
      <c r="CM216" s="52"/>
      <c r="CN216" s="52"/>
      <c r="CO216" s="52"/>
      <c r="CP216" s="51"/>
      <c r="CQ216" s="51"/>
      <c r="CR216" s="51"/>
      <c r="CS216" s="51"/>
      <c r="CT216" s="51"/>
    </row>
    <row r="217" ht="21.0" customHeight="1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50"/>
      <c r="AG217" s="51"/>
      <c r="AH217" s="52"/>
      <c r="AI217" s="52"/>
      <c r="AJ217" s="52"/>
      <c r="AK217" s="52"/>
      <c r="AL217" s="52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4"/>
      <c r="AX217" s="54"/>
      <c r="AY217" s="54"/>
      <c r="AZ217" s="54"/>
      <c r="BA217" s="54"/>
      <c r="BB217" s="54"/>
      <c r="BC217" s="54"/>
      <c r="BD217" s="54"/>
      <c r="BE217" s="54"/>
      <c r="BF217" s="54"/>
      <c r="BG217" s="54"/>
      <c r="BH217" s="54"/>
      <c r="BI217" s="54"/>
      <c r="BJ217" s="54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2"/>
      <c r="CJ217" s="52"/>
      <c r="CK217" s="52"/>
      <c r="CL217" s="52"/>
      <c r="CM217" s="52"/>
      <c r="CN217" s="52"/>
      <c r="CO217" s="52"/>
      <c r="CP217" s="51"/>
      <c r="CQ217" s="51"/>
      <c r="CR217" s="51"/>
      <c r="CS217" s="51"/>
      <c r="CT217" s="51"/>
    </row>
    <row r="218" ht="21.0" customHeight="1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50"/>
      <c r="AG218" s="51"/>
      <c r="AH218" s="52"/>
      <c r="AI218" s="52"/>
      <c r="AJ218" s="52"/>
      <c r="AK218" s="52"/>
      <c r="AL218" s="52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4"/>
      <c r="AX218" s="54"/>
      <c r="AY218" s="54"/>
      <c r="AZ218" s="54"/>
      <c r="BA218" s="54"/>
      <c r="BB218" s="54"/>
      <c r="BC218" s="54"/>
      <c r="BD218" s="54"/>
      <c r="BE218" s="54"/>
      <c r="BF218" s="54"/>
      <c r="BG218" s="54"/>
      <c r="BH218" s="54"/>
      <c r="BI218" s="54"/>
      <c r="BJ218" s="54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2"/>
      <c r="CJ218" s="52"/>
      <c r="CK218" s="52"/>
      <c r="CL218" s="52"/>
      <c r="CM218" s="52"/>
      <c r="CN218" s="52"/>
      <c r="CO218" s="52"/>
      <c r="CP218" s="51"/>
      <c r="CQ218" s="51"/>
      <c r="CR218" s="51"/>
      <c r="CS218" s="51"/>
      <c r="CT218" s="51"/>
    </row>
    <row r="219" ht="21.0" customHeight="1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50"/>
      <c r="AG219" s="51"/>
      <c r="AH219" s="52"/>
      <c r="AI219" s="52"/>
      <c r="AJ219" s="52"/>
      <c r="AK219" s="52"/>
      <c r="AL219" s="52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4"/>
      <c r="AX219" s="54"/>
      <c r="AY219" s="54"/>
      <c r="AZ219" s="54"/>
      <c r="BA219" s="54"/>
      <c r="BB219" s="54"/>
      <c r="BC219" s="54"/>
      <c r="BD219" s="54"/>
      <c r="BE219" s="54"/>
      <c r="BF219" s="54"/>
      <c r="BG219" s="54"/>
      <c r="BH219" s="54"/>
      <c r="BI219" s="54"/>
      <c r="BJ219" s="54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2"/>
      <c r="CJ219" s="52"/>
      <c r="CK219" s="52"/>
      <c r="CL219" s="52"/>
      <c r="CM219" s="52"/>
      <c r="CN219" s="52"/>
      <c r="CO219" s="52"/>
      <c r="CP219" s="51"/>
      <c r="CQ219" s="51"/>
      <c r="CR219" s="51"/>
      <c r="CS219" s="51"/>
      <c r="CT219" s="51"/>
    </row>
    <row r="220" ht="21.0" customHeight="1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50"/>
      <c r="AG220" s="51"/>
      <c r="AH220" s="52"/>
      <c r="AI220" s="52"/>
      <c r="AJ220" s="52"/>
      <c r="AK220" s="52"/>
      <c r="AL220" s="52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4"/>
      <c r="AX220" s="54"/>
      <c r="AY220" s="54"/>
      <c r="AZ220" s="54"/>
      <c r="BA220" s="54"/>
      <c r="BB220" s="54"/>
      <c r="BC220" s="54"/>
      <c r="BD220" s="54"/>
      <c r="BE220" s="54"/>
      <c r="BF220" s="54"/>
      <c r="BG220" s="54"/>
      <c r="BH220" s="54"/>
      <c r="BI220" s="54"/>
      <c r="BJ220" s="54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2"/>
      <c r="CJ220" s="52"/>
      <c r="CK220" s="52"/>
      <c r="CL220" s="52"/>
      <c r="CM220" s="52"/>
      <c r="CN220" s="52"/>
      <c r="CO220" s="52"/>
      <c r="CP220" s="51"/>
      <c r="CQ220" s="51"/>
      <c r="CR220" s="51"/>
      <c r="CS220" s="51"/>
      <c r="CT220" s="51"/>
    </row>
    <row r="221" ht="21.0" customHeight="1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50"/>
      <c r="AG221" s="51"/>
      <c r="AH221" s="52"/>
      <c r="AI221" s="52"/>
      <c r="AJ221" s="52"/>
      <c r="AK221" s="52"/>
      <c r="AL221" s="52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4"/>
      <c r="AX221" s="54"/>
      <c r="AY221" s="54"/>
      <c r="AZ221" s="54"/>
      <c r="BA221" s="54"/>
      <c r="BB221" s="54"/>
      <c r="BC221" s="54"/>
      <c r="BD221" s="54"/>
      <c r="BE221" s="54"/>
      <c r="BF221" s="54"/>
      <c r="BG221" s="54"/>
      <c r="BH221" s="54"/>
      <c r="BI221" s="54"/>
      <c r="BJ221" s="54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2"/>
      <c r="CJ221" s="52"/>
      <c r="CK221" s="52"/>
      <c r="CL221" s="52"/>
      <c r="CM221" s="52"/>
      <c r="CN221" s="52"/>
      <c r="CO221" s="52"/>
      <c r="CP221" s="51"/>
      <c r="CQ221" s="51"/>
      <c r="CR221" s="51"/>
      <c r="CS221" s="51"/>
      <c r="CT221" s="51"/>
    </row>
    <row r="222" ht="21.0" customHeight="1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50"/>
      <c r="AG222" s="51"/>
      <c r="AH222" s="52"/>
      <c r="AI222" s="52"/>
      <c r="AJ222" s="52"/>
      <c r="AK222" s="52"/>
      <c r="AL222" s="52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4"/>
      <c r="AX222" s="54"/>
      <c r="AY222" s="54"/>
      <c r="AZ222" s="54"/>
      <c r="BA222" s="54"/>
      <c r="BB222" s="54"/>
      <c r="BC222" s="54"/>
      <c r="BD222" s="54"/>
      <c r="BE222" s="54"/>
      <c r="BF222" s="54"/>
      <c r="BG222" s="54"/>
      <c r="BH222" s="54"/>
      <c r="BI222" s="54"/>
      <c r="BJ222" s="54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2"/>
      <c r="CJ222" s="52"/>
      <c r="CK222" s="52"/>
      <c r="CL222" s="52"/>
      <c r="CM222" s="52"/>
      <c r="CN222" s="52"/>
      <c r="CO222" s="52"/>
      <c r="CP222" s="51"/>
      <c r="CQ222" s="51"/>
      <c r="CR222" s="51"/>
      <c r="CS222" s="51"/>
      <c r="CT222" s="51"/>
    </row>
    <row r="223" ht="21.0" customHeight="1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50"/>
      <c r="AG223" s="51"/>
      <c r="AH223" s="52"/>
      <c r="AI223" s="52"/>
      <c r="AJ223" s="52"/>
      <c r="AK223" s="52"/>
      <c r="AL223" s="52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4"/>
      <c r="AX223" s="54"/>
      <c r="AY223" s="54"/>
      <c r="AZ223" s="54"/>
      <c r="BA223" s="54"/>
      <c r="BB223" s="54"/>
      <c r="BC223" s="54"/>
      <c r="BD223" s="54"/>
      <c r="BE223" s="54"/>
      <c r="BF223" s="54"/>
      <c r="BG223" s="54"/>
      <c r="BH223" s="54"/>
      <c r="BI223" s="54"/>
      <c r="BJ223" s="54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2"/>
      <c r="CJ223" s="52"/>
      <c r="CK223" s="52"/>
      <c r="CL223" s="52"/>
      <c r="CM223" s="52"/>
      <c r="CN223" s="52"/>
      <c r="CO223" s="52"/>
      <c r="CP223" s="51"/>
      <c r="CQ223" s="51"/>
      <c r="CR223" s="51"/>
      <c r="CS223" s="51"/>
      <c r="CT223" s="51"/>
    </row>
    <row r="224" ht="21.0" customHeight="1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50"/>
      <c r="AG224" s="51"/>
      <c r="AH224" s="52"/>
      <c r="AI224" s="52"/>
      <c r="AJ224" s="52"/>
      <c r="AK224" s="52"/>
      <c r="AL224" s="52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  <c r="BI224" s="54"/>
      <c r="BJ224" s="54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2"/>
      <c r="CJ224" s="52"/>
      <c r="CK224" s="52"/>
      <c r="CL224" s="52"/>
      <c r="CM224" s="52"/>
      <c r="CN224" s="52"/>
      <c r="CO224" s="52"/>
      <c r="CP224" s="51"/>
      <c r="CQ224" s="51"/>
      <c r="CR224" s="51"/>
      <c r="CS224" s="51"/>
      <c r="CT224" s="51"/>
    </row>
    <row r="225" ht="21.0" customHeight="1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50"/>
      <c r="AG225" s="51"/>
      <c r="AH225" s="52"/>
      <c r="AI225" s="52"/>
      <c r="AJ225" s="52"/>
      <c r="AK225" s="52"/>
      <c r="AL225" s="52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4"/>
      <c r="AX225" s="54"/>
      <c r="AY225" s="54"/>
      <c r="AZ225" s="54"/>
      <c r="BA225" s="54"/>
      <c r="BB225" s="54"/>
      <c r="BC225" s="54"/>
      <c r="BD225" s="54"/>
      <c r="BE225" s="54"/>
      <c r="BF225" s="54"/>
      <c r="BG225" s="54"/>
      <c r="BH225" s="54"/>
      <c r="BI225" s="54"/>
      <c r="BJ225" s="54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2"/>
      <c r="CJ225" s="52"/>
      <c r="CK225" s="52"/>
      <c r="CL225" s="52"/>
      <c r="CM225" s="52"/>
      <c r="CN225" s="52"/>
      <c r="CO225" s="52"/>
      <c r="CP225" s="51"/>
      <c r="CQ225" s="51"/>
      <c r="CR225" s="51"/>
      <c r="CS225" s="51"/>
      <c r="CT225" s="51"/>
    </row>
    <row r="226" ht="21.0" customHeight="1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50"/>
      <c r="AG226" s="51"/>
      <c r="AH226" s="52"/>
      <c r="AI226" s="52"/>
      <c r="AJ226" s="52"/>
      <c r="AK226" s="52"/>
      <c r="AL226" s="52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4"/>
      <c r="AX226" s="54"/>
      <c r="AY226" s="54"/>
      <c r="AZ226" s="54"/>
      <c r="BA226" s="54"/>
      <c r="BB226" s="54"/>
      <c r="BC226" s="54"/>
      <c r="BD226" s="54"/>
      <c r="BE226" s="54"/>
      <c r="BF226" s="54"/>
      <c r="BG226" s="54"/>
      <c r="BH226" s="54"/>
      <c r="BI226" s="54"/>
      <c r="BJ226" s="54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2"/>
      <c r="CJ226" s="52"/>
      <c r="CK226" s="52"/>
      <c r="CL226" s="52"/>
      <c r="CM226" s="52"/>
      <c r="CN226" s="52"/>
      <c r="CO226" s="52"/>
      <c r="CP226" s="51"/>
      <c r="CQ226" s="51"/>
      <c r="CR226" s="51"/>
      <c r="CS226" s="51"/>
      <c r="CT226" s="51"/>
    </row>
    <row r="227" ht="21.0" customHeight="1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50"/>
      <c r="AG227" s="51"/>
      <c r="AH227" s="52"/>
      <c r="AI227" s="52"/>
      <c r="AJ227" s="52"/>
      <c r="AK227" s="52"/>
      <c r="AL227" s="52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4"/>
      <c r="AX227" s="54"/>
      <c r="AY227" s="54"/>
      <c r="AZ227" s="54"/>
      <c r="BA227" s="54"/>
      <c r="BB227" s="54"/>
      <c r="BC227" s="54"/>
      <c r="BD227" s="54"/>
      <c r="BE227" s="54"/>
      <c r="BF227" s="54"/>
      <c r="BG227" s="54"/>
      <c r="BH227" s="54"/>
      <c r="BI227" s="54"/>
      <c r="BJ227" s="54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2"/>
      <c r="CJ227" s="52"/>
      <c r="CK227" s="52"/>
      <c r="CL227" s="52"/>
      <c r="CM227" s="52"/>
      <c r="CN227" s="52"/>
      <c r="CO227" s="52"/>
      <c r="CP227" s="51"/>
      <c r="CQ227" s="51"/>
      <c r="CR227" s="51"/>
      <c r="CS227" s="51"/>
      <c r="CT227" s="51"/>
    </row>
    <row r="228" ht="21.0" customHeight="1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50"/>
      <c r="AG228" s="51"/>
      <c r="AH228" s="52"/>
      <c r="AI228" s="52"/>
      <c r="AJ228" s="52"/>
      <c r="AK228" s="52"/>
      <c r="AL228" s="52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4"/>
      <c r="AX228" s="54"/>
      <c r="AY228" s="54"/>
      <c r="AZ228" s="54"/>
      <c r="BA228" s="54"/>
      <c r="BB228" s="54"/>
      <c r="BC228" s="54"/>
      <c r="BD228" s="54"/>
      <c r="BE228" s="54"/>
      <c r="BF228" s="54"/>
      <c r="BG228" s="54"/>
      <c r="BH228" s="54"/>
      <c r="BI228" s="54"/>
      <c r="BJ228" s="54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2"/>
      <c r="CJ228" s="52"/>
      <c r="CK228" s="52"/>
      <c r="CL228" s="52"/>
      <c r="CM228" s="52"/>
      <c r="CN228" s="52"/>
      <c r="CO228" s="52"/>
      <c r="CP228" s="51"/>
      <c r="CQ228" s="51"/>
      <c r="CR228" s="51"/>
      <c r="CS228" s="51"/>
      <c r="CT228" s="51"/>
    </row>
    <row r="229" ht="21.0" customHeight="1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50"/>
      <c r="AG229" s="51"/>
      <c r="AH229" s="52"/>
      <c r="AI229" s="52"/>
      <c r="AJ229" s="52"/>
      <c r="AK229" s="52"/>
      <c r="AL229" s="52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4"/>
      <c r="AX229" s="54"/>
      <c r="AY229" s="54"/>
      <c r="AZ229" s="54"/>
      <c r="BA229" s="54"/>
      <c r="BB229" s="54"/>
      <c r="BC229" s="54"/>
      <c r="BD229" s="54"/>
      <c r="BE229" s="54"/>
      <c r="BF229" s="54"/>
      <c r="BG229" s="54"/>
      <c r="BH229" s="54"/>
      <c r="BI229" s="54"/>
      <c r="BJ229" s="54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2"/>
      <c r="CJ229" s="52"/>
      <c r="CK229" s="52"/>
      <c r="CL229" s="52"/>
      <c r="CM229" s="52"/>
      <c r="CN229" s="52"/>
      <c r="CO229" s="52"/>
      <c r="CP229" s="51"/>
      <c r="CQ229" s="51"/>
      <c r="CR229" s="51"/>
      <c r="CS229" s="51"/>
      <c r="CT229" s="51"/>
    </row>
    <row r="230" ht="21.0" customHeight="1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50"/>
      <c r="AG230" s="51"/>
      <c r="AH230" s="52"/>
      <c r="AI230" s="52"/>
      <c r="AJ230" s="52"/>
      <c r="AK230" s="52"/>
      <c r="AL230" s="52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4"/>
      <c r="AX230" s="54"/>
      <c r="AY230" s="54"/>
      <c r="AZ230" s="54"/>
      <c r="BA230" s="54"/>
      <c r="BB230" s="54"/>
      <c r="BC230" s="54"/>
      <c r="BD230" s="54"/>
      <c r="BE230" s="54"/>
      <c r="BF230" s="54"/>
      <c r="BG230" s="54"/>
      <c r="BH230" s="54"/>
      <c r="BI230" s="54"/>
      <c r="BJ230" s="54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2"/>
      <c r="CJ230" s="52"/>
      <c r="CK230" s="52"/>
      <c r="CL230" s="52"/>
      <c r="CM230" s="52"/>
      <c r="CN230" s="52"/>
      <c r="CO230" s="52"/>
      <c r="CP230" s="51"/>
      <c r="CQ230" s="51"/>
      <c r="CR230" s="51"/>
      <c r="CS230" s="51"/>
      <c r="CT230" s="51"/>
    </row>
    <row r="231" ht="21.0" customHeight="1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50"/>
      <c r="AG231" s="51"/>
      <c r="AH231" s="52"/>
      <c r="AI231" s="52"/>
      <c r="AJ231" s="52"/>
      <c r="AK231" s="52"/>
      <c r="AL231" s="52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4"/>
      <c r="AX231" s="54"/>
      <c r="AY231" s="54"/>
      <c r="AZ231" s="54"/>
      <c r="BA231" s="54"/>
      <c r="BB231" s="54"/>
      <c r="BC231" s="54"/>
      <c r="BD231" s="54"/>
      <c r="BE231" s="54"/>
      <c r="BF231" s="54"/>
      <c r="BG231" s="54"/>
      <c r="BH231" s="54"/>
      <c r="BI231" s="54"/>
      <c r="BJ231" s="54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2"/>
      <c r="CJ231" s="52"/>
      <c r="CK231" s="52"/>
      <c r="CL231" s="52"/>
      <c r="CM231" s="52"/>
      <c r="CN231" s="52"/>
      <c r="CO231" s="52"/>
      <c r="CP231" s="51"/>
      <c r="CQ231" s="51"/>
      <c r="CR231" s="51"/>
      <c r="CS231" s="51"/>
      <c r="CT231" s="51"/>
    </row>
    <row r="232" ht="21.0" customHeight="1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50"/>
      <c r="AG232" s="51"/>
      <c r="AH232" s="52"/>
      <c r="AI232" s="52"/>
      <c r="AJ232" s="52"/>
      <c r="AK232" s="52"/>
      <c r="AL232" s="52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4"/>
      <c r="AX232" s="54"/>
      <c r="AY232" s="54"/>
      <c r="AZ232" s="54"/>
      <c r="BA232" s="54"/>
      <c r="BB232" s="54"/>
      <c r="BC232" s="54"/>
      <c r="BD232" s="54"/>
      <c r="BE232" s="54"/>
      <c r="BF232" s="54"/>
      <c r="BG232" s="54"/>
      <c r="BH232" s="54"/>
      <c r="BI232" s="54"/>
      <c r="BJ232" s="54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2"/>
      <c r="CJ232" s="52"/>
      <c r="CK232" s="52"/>
      <c r="CL232" s="52"/>
      <c r="CM232" s="52"/>
      <c r="CN232" s="52"/>
      <c r="CO232" s="52"/>
      <c r="CP232" s="51"/>
      <c r="CQ232" s="51"/>
      <c r="CR232" s="51"/>
      <c r="CS232" s="51"/>
      <c r="CT232" s="51"/>
    </row>
    <row r="233" ht="21.0" customHeight="1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50"/>
      <c r="AG233" s="51"/>
      <c r="AH233" s="52"/>
      <c r="AI233" s="52"/>
      <c r="AJ233" s="52"/>
      <c r="AK233" s="52"/>
      <c r="AL233" s="52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  <c r="BI233" s="54"/>
      <c r="BJ233" s="54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2"/>
      <c r="CJ233" s="52"/>
      <c r="CK233" s="52"/>
      <c r="CL233" s="52"/>
      <c r="CM233" s="52"/>
      <c r="CN233" s="52"/>
      <c r="CO233" s="52"/>
      <c r="CP233" s="51"/>
      <c r="CQ233" s="51"/>
      <c r="CR233" s="51"/>
      <c r="CS233" s="51"/>
      <c r="CT233" s="51"/>
    </row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1">
    <mergeCell ref="U6:U7"/>
    <mergeCell ref="V6:V7"/>
    <mergeCell ref="W6:W7"/>
    <mergeCell ref="X6:X7"/>
    <mergeCell ref="AA6:AA7"/>
    <mergeCell ref="AB6:AB7"/>
    <mergeCell ref="AC6:AC7"/>
    <mergeCell ref="AD6:AD7"/>
    <mergeCell ref="AE6:AE7"/>
    <mergeCell ref="T1:Y2"/>
    <mergeCell ref="D3:E3"/>
    <mergeCell ref="F3:I3"/>
    <mergeCell ref="S3:Z3"/>
    <mergeCell ref="D6:D7"/>
    <mergeCell ref="E6:E7"/>
    <mergeCell ref="F6:F7"/>
    <mergeCell ref="Z6:Z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</mergeCells>
  <conditionalFormatting sqref="B8:B28 C6:C28 D8:AE28">
    <cfRule type="expression" dxfId="2" priority="1">
      <formula>$A6=0</formula>
    </cfRule>
  </conditionalFormatting>
  <conditionalFormatting sqref="B25:AE25 D26:AC26 D26:D28 E27:O28 R27:U28 W27:AB28">
    <cfRule type="expression" dxfId="0" priority="2">
      <formula>$B23=0</formula>
    </cfRule>
  </conditionalFormatting>
  <conditionalFormatting sqref="B28:AE28">
    <cfRule type="expression" dxfId="0" priority="3">
      <formula>$B23=0</formula>
    </cfRule>
  </conditionalFormatting>
  <conditionalFormatting sqref="B8:B28 C6:C28">
    <cfRule type="cellIs" dxfId="1" priority="4" operator="equal">
      <formula>0</formula>
    </cfRule>
  </conditionalFormatting>
  <conditionalFormatting sqref="D9">
    <cfRule type="expression" dxfId="0" priority="5">
      <formula>$B8=0</formula>
    </cfRule>
  </conditionalFormatting>
  <conditionalFormatting sqref="B27:AE27">
    <cfRule type="expression" dxfId="0" priority="6">
      <formula>$B23=0</formula>
    </cfRule>
  </conditionalFormatting>
  <conditionalFormatting sqref="B9:B28 C6:C28 D11:D28 E9:Y28 Z8:Z28 AA9:AE28">
    <cfRule type="expression" dxfId="0" priority="7">
      <formula>$B4=0</formula>
    </cfRule>
  </conditionalFormatting>
  <conditionalFormatting sqref="B26:C26 D26:D27 E26:O28 P26:Q26 R26:U28 V26 W26:AB28 AC26:AE26">
    <cfRule type="expression" dxfId="0" priority="8">
      <formula>$B23=0</formula>
    </cfRule>
  </conditionalFormatting>
  <hyperlinks>
    <hyperlink r:id="rId2" ref="S3"/>
  </hyperlinks>
  <printOptions/>
  <pageMargins bottom="0.75" footer="0.0" header="0.0" left="0.7" right="0.7" top="0.75"/>
  <pageSetup paperSize="9" orientation="landscape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7" max="26" width="14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14"/>
    <col customWidth="1" min="2" max="2" width="17.0"/>
    <col customWidth="1" min="3" max="3" width="14.29"/>
    <col customWidth="1" min="4" max="4" width="15.0"/>
    <col customWidth="1" min="5" max="5" width="12.0"/>
    <col customWidth="1" min="6" max="6" width="19.71"/>
    <col customWidth="1" min="7" max="7" width="18.0"/>
    <col customWidth="1" min="8" max="8" width="17.14"/>
    <col customWidth="1" min="9" max="9" width="16.14"/>
    <col customWidth="1" min="10" max="10" width="11.43"/>
    <col customWidth="1" min="11" max="11" width="15.71"/>
    <col customWidth="1" min="12" max="12" width="15.14"/>
    <col customWidth="1" min="13" max="13" width="14.14"/>
    <col customWidth="1" min="14" max="14" width="15.43"/>
    <col customWidth="1" min="15" max="15" width="13.14"/>
    <col customWidth="1" min="16" max="16" width="9.43"/>
    <col customWidth="1" hidden="1" min="17" max="30" width="9.14"/>
  </cols>
  <sheetData>
    <row r="1" ht="13.5" customHeight="1">
      <c r="A1" s="150"/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>
        <v>1.0</v>
      </c>
      <c r="AD1" s="151">
        <v>44621.0</v>
      </c>
    </row>
    <row r="2">
      <c r="A2" s="150"/>
      <c r="B2" s="152"/>
      <c r="C2" s="152"/>
      <c r="D2" s="153"/>
      <c r="E2" s="154" t="s">
        <v>107</v>
      </c>
      <c r="F2" s="155"/>
      <c r="G2" s="156"/>
      <c r="H2" s="153"/>
      <c r="I2" s="153"/>
      <c r="J2" s="157"/>
      <c r="K2" s="157"/>
      <c r="L2" s="157"/>
      <c r="M2" s="150"/>
      <c r="N2" s="150"/>
      <c r="O2" s="150"/>
      <c r="P2" s="1"/>
      <c r="Q2" s="1"/>
      <c r="R2" s="1"/>
      <c r="S2" s="1"/>
      <c r="T2" s="1" t="s">
        <v>55</v>
      </c>
      <c r="U2" s="1">
        <v>20.0</v>
      </c>
      <c r="V2" s="1"/>
      <c r="W2" s="1"/>
      <c r="X2" s="1"/>
      <c r="Y2" s="1"/>
      <c r="Z2" s="1"/>
      <c r="AA2" s="151"/>
      <c r="AB2" s="1"/>
      <c r="AC2" s="1">
        <v>2.0</v>
      </c>
      <c r="AD2" s="151">
        <v>44652.0</v>
      </c>
    </row>
    <row r="3" ht="14.25" customHeight="1">
      <c r="A3" s="150"/>
      <c r="B3" s="152"/>
      <c r="C3" s="152"/>
      <c r="D3" s="153"/>
      <c r="E3" s="153"/>
      <c r="F3" s="158"/>
      <c r="G3" s="158"/>
      <c r="H3" s="158"/>
      <c r="I3" s="153"/>
      <c r="J3" s="157"/>
      <c r="K3" s="157"/>
      <c r="L3" s="157"/>
      <c r="M3" s="150"/>
      <c r="N3" s="150"/>
      <c r="O3" s="150"/>
      <c r="P3" s="1"/>
      <c r="Q3" s="1"/>
      <c r="R3" s="1"/>
      <c r="S3" s="1"/>
      <c r="T3" s="1" t="s">
        <v>58</v>
      </c>
      <c r="U3" s="1"/>
      <c r="V3" s="1"/>
      <c r="W3" s="1"/>
      <c r="X3" s="1"/>
      <c r="Y3" s="1"/>
      <c r="Z3" s="1"/>
      <c r="AA3" s="151"/>
      <c r="AB3" s="1"/>
      <c r="AC3" s="1">
        <v>3.0</v>
      </c>
      <c r="AD3" s="151">
        <v>44682.0</v>
      </c>
    </row>
    <row r="4">
      <c r="A4" s="150"/>
      <c r="B4" s="159" t="s">
        <v>108</v>
      </c>
      <c r="C4" s="160"/>
      <c r="D4" s="161" t="s">
        <v>109</v>
      </c>
      <c r="E4" s="162"/>
      <c r="F4" s="162"/>
      <c r="G4" s="162"/>
      <c r="H4" s="162"/>
      <c r="I4" s="160"/>
      <c r="J4" s="163"/>
      <c r="K4" s="164"/>
      <c r="L4" s="68"/>
      <c r="M4" s="68"/>
      <c r="N4" s="69"/>
      <c r="O4" s="150"/>
      <c r="P4" s="1"/>
      <c r="Q4" s="1"/>
      <c r="R4" s="1"/>
      <c r="S4" s="1"/>
      <c r="T4" s="1" t="s">
        <v>61</v>
      </c>
      <c r="U4" s="1"/>
      <c r="V4" s="1"/>
      <c r="W4" s="1"/>
      <c r="X4" s="1">
        <v>1000.0</v>
      </c>
      <c r="Y4" s="1"/>
      <c r="Z4" s="1"/>
      <c r="AA4" s="151"/>
      <c r="AB4" s="1"/>
      <c r="AC4" s="1">
        <v>4.0</v>
      </c>
      <c r="AD4" s="151">
        <v>44713.0</v>
      </c>
    </row>
    <row r="5" ht="7.5" customHeight="1">
      <c r="A5" s="150"/>
      <c r="B5" s="165"/>
      <c r="C5" s="165"/>
      <c r="D5" s="166"/>
      <c r="E5" s="166"/>
      <c r="F5" s="166"/>
      <c r="G5" s="166"/>
      <c r="H5" s="166"/>
      <c r="I5" s="166"/>
      <c r="J5" s="163"/>
      <c r="K5" s="167"/>
      <c r="L5" s="167"/>
      <c r="M5" s="167"/>
      <c r="N5" s="167"/>
      <c r="O5" s="150"/>
      <c r="P5" s="1"/>
      <c r="Q5" s="1"/>
      <c r="R5" s="1"/>
      <c r="S5" s="1"/>
      <c r="T5" s="1" t="s">
        <v>64</v>
      </c>
      <c r="U5" s="1"/>
      <c r="V5" s="1"/>
      <c r="W5" s="1"/>
      <c r="X5" s="1"/>
      <c r="Y5" s="1"/>
      <c r="Z5" s="1"/>
      <c r="AA5" s="151"/>
      <c r="AB5" s="1"/>
      <c r="AC5" s="1">
        <v>5.0</v>
      </c>
      <c r="AD5" s="151">
        <v>44743.0</v>
      </c>
    </row>
    <row r="6">
      <c r="A6" s="150"/>
      <c r="B6" s="159" t="s">
        <v>110</v>
      </c>
      <c r="C6" s="160"/>
      <c r="D6" s="168" t="s">
        <v>111</v>
      </c>
      <c r="E6" s="160"/>
      <c r="F6" s="159" t="s">
        <v>112</v>
      </c>
      <c r="G6" s="160"/>
      <c r="H6" s="168" t="s">
        <v>113</v>
      </c>
      <c r="I6" s="160"/>
      <c r="J6" s="163"/>
      <c r="K6" s="150"/>
      <c r="L6" s="150"/>
      <c r="M6" s="150"/>
      <c r="N6" s="150"/>
      <c r="O6" s="150"/>
      <c r="P6" s="1"/>
      <c r="Q6" s="1"/>
      <c r="R6" s="1"/>
      <c r="S6" s="1"/>
      <c r="T6" s="1" t="s">
        <v>67</v>
      </c>
      <c r="U6" s="1"/>
      <c r="V6" s="1"/>
      <c r="W6" s="1"/>
      <c r="X6" s="1">
        <v>620.0</v>
      </c>
      <c r="Y6" s="1"/>
      <c r="Z6" s="1"/>
      <c r="AA6" s="151"/>
      <c r="AB6" s="1"/>
      <c r="AC6" s="1">
        <v>6.0</v>
      </c>
      <c r="AD6" s="151">
        <v>44774.0</v>
      </c>
    </row>
    <row r="7" ht="7.5" customHeight="1">
      <c r="A7" s="150"/>
      <c r="B7" s="165"/>
      <c r="C7" s="165"/>
      <c r="D7" s="169"/>
      <c r="E7" s="169"/>
      <c r="F7" s="165"/>
      <c r="G7" s="165"/>
      <c r="H7" s="169"/>
      <c r="I7" s="169"/>
      <c r="J7" s="163"/>
      <c r="K7" s="150"/>
      <c r="L7" s="150"/>
      <c r="M7" s="150"/>
      <c r="N7" s="150"/>
      <c r="O7" s="150"/>
      <c r="P7" s="1"/>
      <c r="Q7" s="1"/>
      <c r="R7" s="1"/>
      <c r="S7" s="1"/>
      <c r="T7" s="1" t="s">
        <v>69</v>
      </c>
      <c r="U7" s="1"/>
      <c r="V7" s="1"/>
      <c r="W7" s="1"/>
      <c r="X7" s="1"/>
      <c r="Y7" s="1"/>
      <c r="Z7" s="1"/>
      <c r="AA7" s="151"/>
      <c r="AB7" s="1"/>
      <c r="AC7" s="1">
        <v>7.0</v>
      </c>
      <c r="AD7" s="151">
        <v>44805.0</v>
      </c>
    </row>
    <row r="8">
      <c r="A8" s="150"/>
      <c r="B8" s="159" t="s">
        <v>114</v>
      </c>
      <c r="C8" s="160"/>
      <c r="D8" s="168" t="s">
        <v>115</v>
      </c>
      <c r="E8" s="160"/>
      <c r="F8" s="159" t="s">
        <v>116</v>
      </c>
      <c r="G8" s="160"/>
      <c r="H8" s="168" t="s">
        <v>117</v>
      </c>
      <c r="I8" s="160"/>
      <c r="J8" s="163"/>
      <c r="K8" s="150"/>
      <c r="L8" s="150"/>
      <c r="M8" s="150"/>
      <c r="N8" s="150"/>
      <c r="O8" s="150"/>
      <c r="P8" s="1"/>
      <c r="Q8" s="1"/>
      <c r="R8" s="1"/>
      <c r="S8" s="1"/>
      <c r="T8" s="1" t="s">
        <v>71</v>
      </c>
      <c r="U8" s="1"/>
      <c r="V8" s="1"/>
      <c r="W8" s="1"/>
      <c r="X8" s="1"/>
      <c r="Y8" s="1"/>
      <c r="Z8" s="1"/>
      <c r="AA8" s="151"/>
      <c r="AB8" s="1"/>
      <c r="AC8" s="1">
        <v>8.0</v>
      </c>
      <c r="AD8" s="151">
        <v>44835.0</v>
      </c>
    </row>
    <row r="9" ht="7.5" customHeight="1">
      <c r="A9" s="150"/>
      <c r="B9" s="165"/>
      <c r="C9" s="165"/>
      <c r="D9" s="169"/>
      <c r="E9" s="169"/>
      <c r="F9" s="165"/>
      <c r="G9" s="165"/>
      <c r="H9" s="169"/>
      <c r="I9" s="169"/>
      <c r="J9" s="163"/>
      <c r="K9" s="150"/>
      <c r="L9" s="150"/>
      <c r="M9" s="150"/>
      <c r="N9" s="150"/>
      <c r="O9" s="150"/>
      <c r="P9" s="1"/>
      <c r="Q9" s="1"/>
      <c r="R9" s="1"/>
      <c r="S9" s="1"/>
      <c r="T9" s="1" t="s">
        <v>73</v>
      </c>
      <c r="U9" s="1"/>
      <c r="V9" s="1"/>
      <c r="W9" s="1"/>
      <c r="X9" s="1"/>
      <c r="Y9" s="1"/>
      <c r="Z9" s="1"/>
      <c r="AA9" s="151"/>
      <c r="AB9" s="1"/>
      <c r="AC9" s="1">
        <v>9.0</v>
      </c>
      <c r="AD9" s="151">
        <v>44866.0</v>
      </c>
    </row>
    <row r="10">
      <c r="A10" s="150"/>
      <c r="B10" s="170" t="s">
        <v>118</v>
      </c>
      <c r="C10" s="160"/>
      <c r="D10" s="171" t="s">
        <v>119</v>
      </c>
      <c r="E10" s="160"/>
      <c r="F10" s="172"/>
      <c r="G10" s="160"/>
      <c r="H10" s="163"/>
      <c r="I10" s="173"/>
      <c r="J10" s="173"/>
      <c r="K10" s="173"/>
      <c r="L10" s="150"/>
      <c r="M10" s="150"/>
      <c r="N10" s="1"/>
      <c r="O10" s="1"/>
      <c r="P10" s="1"/>
      <c r="Q10" s="1"/>
      <c r="R10" s="1" t="s">
        <v>75</v>
      </c>
      <c r="S10" s="1"/>
      <c r="T10" s="1"/>
      <c r="U10" s="1"/>
      <c r="V10" s="1"/>
      <c r="W10" s="1"/>
      <c r="X10" s="1"/>
      <c r="Y10" s="151"/>
      <c r="Z10" s="1"/>
      <c r="AA10" s="1">
        <v>10.0</v>
      </c>
      <c r="AB10" s="151">
        <v>44896.0</v>
      </c>
    </row>
    <row r="11" ht="7.5" customHeight="1">
      <c r="A11" s="150"/>
      <c r="B11" s="174"/>
      <c r="C11" s="174"/>
      <c r="D11" s="175"/>
      <c r="E11" s="175"/>
      <c r="F11" s="165"/>
      <c r="G11" s="165"/>
      <c r="H11" s="176"/>
      <c r="I11" s="176"/>
      <c r="J11" s="163"/>
      <c r="K11" s="173"/>
      <c r="L11" s="173"/>
      <c r="M11" s="173"/>
      <c r="N11" s="150"/>
      <c r="O11" s="150"/>
      <c r="P11" s="1"/>
      <c r="Q11" s="1"/>
      <c r="R11" s="1"/>
      <c r="S11" s="1"/>
      <c r="T11" s="1" t="s">
        <v>77</v>
      </c>
      <c r="U11" s="1"/>
      <c r="V11" s="1"/>
      <c r="W11" s="1"/>
      <c r="X11" s="1"/>
      <c r="Y11" s="1"/>
      <c r="Z11" s="1"/>
      <c r="AA11" s="151"/>
      <c r="AB11" s="1"/>
      <c r="AC11" s="1">
        <v>11.0</v>
      </c>
      <c r="AD11" s="151">
        <v>44927.0</v>
      </c>
    </row>
    <row r="12">
      <c r="A12" s="150"/>
      <c r="B12" s="171" t="s">
        <v>120</v>
      </c>
      <c r="C12" s="160"/>
      <c r="D12" s="177" t="s">
        <v>121</v>
      </c>
      <c r="E12" s="160"/>
      <c r="F12" s="159" t="s">
        <v>122</v>
      </c>
      <c r="G12" s="160"/>
      <c r="H12" s="178"/>
      <c r="I12" s="179"/>
      <c r="J12" s="163"/>
      <c r="K12" s="180"/>
      <c r="L12" s="68"/>
      <c r="M12" s="68"/>
      <c r="N12" s="69"/>
      <c r="O12" s="150"/>
      <c r="P12" s="1"/>
      <c r="Q12" s="1"/>
      <c r="R12" s="1"/>
      <c r="S12" s="1"/>
      <c r="T12" s="1" t="s">
        <v>79</v>
      </c>
      <c r="U12" s="1"/>
      <c r="V12" s="1"/>
      <c r="W12" s="1"/>
      <c r="X12" s="1"/>
      <c r="Y12" s="1"/>
      <c r="Z12" s="1"/>
      <c r="AA12" s="151"/>
      <c r="AB12" s="1"/>
      <c r="AC12" s="1">
        <v>12.0</v>
      </c>
      <c r="AD12" s="151">
        <v>44958.0</v>
      </c>
    </row>
    <row r="13" ht="7.5" customHeight="1">
      <c r="A13" s="150"/>
      <c r="B13" s="174"/>
      <c r="C13" s="174"/>
      <c r="D13" s="181"/>
      <c r="E13" s="181"/>
      <c r="F13" s="165"/>
      <c r="G13" s="165"/>
      <c r="H13" s="169"/>
      <c r="I13" s="169"/>
      <c r="J13" s="163"/>
      <c r="K13" s="182"/>
      <c r="L13" s="182"/>
      <c r="M13" s="182"/>
      <c r="N13" s="182"/>
      <c r="O13" s="150"/>
      <c r="P13" s="1"/>
      <c r="Q13" s="1"/>
      <c r="R13" s="1"/>
      <c r="S13" s="1"/>
      <c r="T13" s="1" t="s">
        <v>81</v>
      </c>
      <c r="U13" s="1"/>
      <c r="V13" s="1"/>
      <c r="W13" s="1"/>
      <c r="X13" s="1"/>
      <c r="Y13" s="1"/>
      <c r="Z13" s="1"/>
      <c r="AA13" s="151"/>
      <c r="AB13" s="1"/>
      <c r="AC13" s="1"/>
      <c r="AD13" s="1"/>
    </row>
    <row r="14">
      <c r="A14" s="150"/>
      <c r="B14" s="171" t="s">
        <v>123</v>
      </c>
      <c r="C14" s="160"/>
      <c r="D14" s="183">
        <v>113422.0</v>
      </c>
      <c r="E14" s="160"/>
      <c r="F14" s="159" t="s">
        <v>124</v>
      </c>
      <c r="G14" s="160"/>
      <c r="H14" s="168">
        <v>1486759.0</v>
      </c>
      <c r="I14" s="160"/>
      <c r="J14" s="163"/>
      <c r="K14" s="173"/>
      <c r="L14" s="173"/>
      <c r="M14" s="173"/>
      <c r="N14" s="150"/>
      <c r="O14" s="150"/>
      <c r="P14" s="1"/>
      <c r="Q14" s="1"/>
      <c r="R14" s="1"/>
      <c r="S14" s="1"/>
      <c r="T14" s="1" t="s">
        <v>55</v>
      </c>
      <c r="U14" s="1"/>
      <c r="V14" s="1"/>
      <c r="W14" s="1"/>
      <c r="X14" s="1"/>
      <c r="Y14" s="1"/>
      <c r="Z14" s="1"/>
      <c r="AA14" s="151"/>
      <c r="AB14" s="1"/>
      <c r="AC14" s="1"/>
      <c r="AD14" s="1"/>
    </row>
    <row r="15" ht="7.5" customHeight="1">
      <c r="A15" s="150"/>
      <c r="B15" s="174"/>
      <c r="C15" s="174"/>
      <c r="D15" s="175"/>
      <c r="E15" s="175"/>
      <c r="F15" s="165"/>
      <c r="G15" s="165"/>
      <c r="H15" s="169"/>
      <c r="I15" s="169"/>
      <c r="J15" s="163"/>
      <c r="K15" s="173"/>
      <c r="L15" s="173"/>
      <c r="M15" s="173"/>
      <c r="N15" s="150"/>
      <c r="O15" s="150"/>
      <c r="P15" s="1"/>
      <c r="Q15" s="1"/>
      <c r="R15" s="1"/>
      <c r="S15" s="1"/>
      <c r="T15" s="1" t="s">
        <v>58</v>
      </c>
      <c r="U15" s="1"/>
      <c r="V15" s="1"/>
      <c r="W15" s="1"/>
      <c r="X15" s="1"/>
      <c r="Y15" s="1"/>
      <c r="Z15" s="1"/>
      <c r="AA15" s="151"/>
      <c r="AB15" s="1"/>
      <c r="AC15" s="1"/>
      <c r="AD15" s="1"/>
    </row>
    <row r="16">
      <c r="A16" s="150"/>
      <c r="B16" s="171" t="s">
        <v>125</v>
      </c>
      <c r="C16" s="160"/>
      <c r="D16" s="184"/>
      <c r="E16" s="160"/>
      <c r="F16" s="159" t="s">
        <v>126</v>
      </c>
      <c r="G16" s="160"/>
      <c r="H16" s="185">
        <v>6.1164354573E10</v>
      </c>
      <c r="I16" s="160"/>
      <c r="J16" s="173"/>
      <c r="K16" s="173"/>
      <c r="L16" s="173"/>
      <c r="M16" s="173"/>
      <c r="N16" s="173"/>
      <c r="O16" s="150"/>
      <c r="P16" s="1"/>
      <c r="Q16" s="1"/>
      <c r="R16" s="1"/>
      <c r="S16" s="1"/>
      <c r="T16" s="1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ht="7.5" customHeight="1">
      <c r="A17" s="150"/>
      <c r="B17" s="165"/>
      <c r="C17" s="165"/>
      <c r="D17" s="169"/>
      <c r="E17" s="169"/>
      <c r="F17" s="165"/>
      <c r="G17" s="165"/>
      <c r="H17" s="166" t="s">
        <v>127</v>
      </c>
      <c r="I17" s="166"/>
      <c r="J17" s="173"/>
      <c r="K17" s="173"/>
      <c r="L17" s="173"/>
      <c r="M17" s="173"/>
      <c r="N17" s="173"/>
      <c r="O17" s="150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ht="21.75" customHeight="1">
      <c r="A18" s="150"/>
      <c r="B18" s="159" t="s">
        <v>128</v>
      </c>
      <c r="C18" s="160"/>
      <c r="D18" s="178" t="s">
        <v>129</v>
      </c>
      <c r="E18" s="160"/>
      <c r="F18" s="186" t="s">
        <v>130</v>
      </c>
      <c r="G18" s="160"/>
      <c r="H18" s="168" t="s">
        <v>78</v>
      </c>
      <c r="I18" s="160"/>
      <c r="J18" s="163"/>
      <c r="K18" s="187" t="s">
        <v>131</v>
      </c>
      <c r="L18" s="188"/>
      <c r="M18" s="188"/>
      <c r="N18" s="189"/>
      <c r="O18" s="150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ht="9.75" customHeight="1">
      <c r="A19" s="150"/>
      <c r="B19" s="150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50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ht="9.75" customHeight="1">
      <c r="A20" s="150"/>
      <c r="B20" s="150"/>
      <c r="C20" s="150"/>
      <c r="D20" s="190"/>
      <c r="E20" s="191"/>
      <c r="F20" s="191"/>
      <c r="G20" s="191"/>
      <c r="H20" s="150"/>
      <c r="I20" s="150"/>
      <c r="J20" s="150"/>
      <c r="K20" s="150"/>
      <c r="L20" s="150"/>
      <c r="M20" s="150"/>
      <c r="N20" s="150"/>
      <c r="O20" s="150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ht="26.25" customHeight="1">
      <c r="A21" s="150"/>
      <c r="B21" s="150"/>
      <c r="C21" s="150"/>
      <c r="D21" s="150"/>
      <c r="E21" s="154" t="s">
        <v>132</v>
      </c>
      <c r="F21" s="155"/>
      <c r="G21" s="156"/>
      <c r="H21" s="192"/>
      <c r="I21" s="192"/>
      <c r="J21" s="192"/>
      <c r="K21" s="150"/>
      <c r="L21" s="150"/>
      <c r="M21" s="150"/>
      <c r="N21" s="150"/>
      <c r="O21" s="150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ht="8.25" customHeight="1">
      <c r="A22" s="150"/>
      <c r="B22" s="150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ht="15.75" customHeight="1">
      <c r="A23" s="150"/>
      <c r="B23" s="193" t="s">
        <v>133</v>
      </c>
      <c r="C23" s="194"/>
      <c r="D23" s="26"/>
      <c r="E23" s="195" t="s">
        <v>50</v>
      </c>
      <c r="F23" s="196" t="s">
        <v>134</v>
      </c>
      <c r="G23" s="197"/>
      <c r="H23" s="198"/>
      <c r="I23" s="199" t="s">
        <v>67</v>
      </c>
      <c r="J23" s="163"/>
      <c r="K23" s="200"/>
      <c r="L23" s="200"/>
      <c r="M23" s="200"/>
      <c r="N23" s="200"/>
      <c r="O23" s="150"/>
      <c r="P23" s="1"/>
      <c r="Q23" s="1"/>
      <c r="R23" s="1"/>
      <c r="S23" s="1" t="s">
        <v>135</v>
      </c>
      <c r="T23" s="1" t="s">
        <v>55</v>
      </c>
      <c r="U23" s="1">
        <v>8.0</v>
      </c>
      <c r="V23" s="1" t="s">
        <v>28</v>
      </c>
      <c r="W23" s="1" t="s">
        <v>54</v>
      </c>
      <c r="X23" s="1"/>
      <c r="Y23" s="1" t="s">
        <v>30</v>
      </c>
      <c r="Z23" s="1"/>
      <c r="AA23" s="151">
        <v>44621.0</v>
      </c>
      <c r="AB23" s="1"/>
      <c r="AC23" s="1"/>
      <c r="AD23" s="1"/>
    </row>
    <row r="24" ht="7.5" customHeight="1">
      <c r="A24" s="150"/>
      <c r="B24" s="201"/>
      <c r="C24" s="201"/>
      <c r="D24" s="201"/>
      <c r="E24" s="202"/>
      <c r="F24" s="201"/>
      <c r="G24" s="201"/>
      <c r="H24" s="201"/>
      <c r="I24" s="202" t="s">
        <v>79</v>
      </c>
      <c r="J24" s="163"/>
      <c r="K24" s="203" t="s">
        <v>136</v>
      </c>
      <c r="L24" s="204"/>
      <c r="M24" s="205"/>
      <c r="N24" s="200"/>
      <c r="O24" s="150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51"/>
      <c r="AB24" s="1"/>
      <c r="AC24" s="1"/>
      <c r="AD24" s="1"/>
    </row>
    <row r="25" ht="15.75" customHeight="1">
      <c r="A25" s="150"/>
      <c r="B25" s="193" t="s">
        <v>137</v>
      </c>
      <c r="C25" s="194"/>
      <c r="D25" s="26"/>
      <c r="E25" s="206" t="s">
        <v>31</v>
      </c>
      <c r="F25" s="196" t="s">
        <v>138</v>
      </c>
      <c r="G25" s="197"/>
      <c r="H25" s="198"/>
      <c r="I25" s="195" t="s">
        <v>50</v>
      </c>
      <c r="J25" s="207"/>
      <c r="K25" s="208"/>
      <c r="L25" s="209"/>
      <c r="M25" s="210"/>
      <c r="N25" s="211">
        <v>38000.0</v>
      </c>
      <c r="O25" s="150"/>
      <c r="P25" s="1"/>
      <c r="Q25" s="1"/>
      <c r="R25" s="1"/>
      <c r="S25" s="1" t="s">
        <v>139</v>
      </c>
      <c r="T25" s="1"/>
      <c r="U25" s="1">
        <v>9.0</v>
      </c>
      <c r="V25" s="1" t="s">
        <v>49</v>
      </c>
      <c r="W25" s="1" t="s">
        <v>57</v>
      </c>
      <c r="X25" s="1"/>
      <c r="Y25" s="1" t="s">
        <v>51</v>
      </c>
      <c r="Z25" s="1"/>
      <c r="AA25" s="151">
        <v>44652.0</v>
      </c>
      <c r="AB25" s="1"/>
      <c r="AC25" s="1"/>
      <c r="AD25" s="1"/>
    </row>
    <row r="26" ht="7.5" customHeight="1">
      <c r="A26" s="150"/>
      <c r="B26" s="201"/>
      <c r="C26" s="201"/>
      <c r="D26" s="201"/>
      <c r="E26" s="212" t="s">
        <v>31</v>
      </c>
      <c r="F26" s="201"/>
      <c r="G26" s="201"/>
      <c r="H26" s="201"/>
      <c r="I26" s="202"/>
      <c r="J26" s="207"/>
      <c r="K26" s="200"/>
      <c r="L26" s="200"/>
      <c r="M26" s="200"/>
      <c r="N26" s="200"/>
      <c r="O26" s="150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51">
        <v>44682.0</v>
      </c>
      <c r="AB26" s="1"/>
      <c r="AC26" s="1"/>
      <c r="AD26" s="1"/>
    </row>
    <row r="27" ht="23.25" customHeight="1">
      <c r="A27" s="150"/>
      <c r="B27" s="201"/>
      <c r="C27" s="213" t="s">
        <v>140</v>
      </c>
      <c r="I27" s="214">
        <v>12.0</v>
      </c>
      <c r="J27" s="207"/>
      <c r="K27" s="215" t="s">
        <v>141</v>
      </c>
      <c r="L27" s="204"/>
      <c r="M27" s="205"/>
      <c r="N27" s="216">
        <v>46054.0</v>
      </c>
      <c r="O27" s="150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51"/>
      <c r="AB27" s="1"/>
      <c r="AC27" s="1"/>
      <c r="AD27" s="1"/>
    </row>
    <row r="28" ht="7.5" customHeight="1">
      <c r="A28" s="150"/>
      <c r="B28" s="201"/>
      <c r="C28" s="201"/>
      <c r="D28" s="201"/>
      <c r="E28" s="212"/>
      <c r="F28" s="201"/>
      <c r="G28" s="201"/>
      <c r="H28" s="201"/>
      <c r="I28" s="202"/>
      <c r="J28" s="207"/>
      <c r="K28" s="217"/>
      <c r="M28" s="218"/>
      <c r="N28" s="219"/>
      <c r="O28" s="150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51">
        <v>44713.0</v>
      </c>
      <c r="AB28" s="1"/>
      <c r="AC28" s="1"/>
      <c r="AD28" s="1"/>
    </row>
    <row r="29" ht="15.75" customHeight="1">
      <c r="A29" s="150"/>
      <c r="B29" s="193" t="s">
        <v>142</v>
      </c>
      <c r="C29" s="194"/>
      <c r="D29" s="26"/>
      <c r="E29" s="220" t="s">
        <v>50</v>
      </c>
      <c r="F29" s="196" t="s">
        <v>143</v>
      </c>
      <c r="G29" s="197"/>
      <c r="H29" s="198"/>
      <c r="I29" s="199" t="s">
        <v>30</v>
      </c>
      <c r="J29" s="221"/>
      <c r="K29" s="208"/>
      <c r="L29" s="209"/>
      <c r="M29" s="210"/>
      <c r="N29" s="222"/>
      <c r="O29" s="150"/>
      <c r="P29" s="1"/>
      <c r="Q29" s="1"/>
      <c r="R29" s="1"/>
      <c r="S29" s="1"/>
      <c r="T29" s="1" t="s">
        <v>61</v>
      </c>
      <c r="U29" s="1">
        <v>10.0</v>
      </c>
      <c r="V29" s="1"/>
      <c r="W29" s="1" t="s">
        <v>60</v>
      </c>
      <c r="X29" s="1"/>
      <c r="Y29" s="1"/>
      <c r="Z29" s="1"/>
      <c r="AA29" s="151">
        <v>44743.0</v>
      </c>
      <c r="AB29" s="1"/>
      <c r="AC29" s="1"/>
      <c r="AD29" s="1"/>
    </row>
    <row r="30" ht="7.5" customHeight="1">
      <c r="A30" s="150"/>
      <c r="B30" s="201"/>
      <c r="C30" s="201"/>
      <c r="D30" s="201"/>
      <c r="E30" s="202"/>
      <c r="F30" s="201"/>
      <c r="G30" s="201"/>
      <c r="H30" s="201"/>
      <c r="I30" s="223"/>
      <c r="J30" s="163"/>
      <c r="K30" s="200"/>
      <c r="L30" s="200"/>
      <c r="M30" s="200"/>
      <c r="N30" s="200"/>
      <c r="O30" s="150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51"/>
      <c r="AB30" s="1"/>
      <c r="AC30" s="1"/>
      <c r="AD30" s="1"/>
    </row>
    <row r="31" ht="22.5" customHeight="1">
      <c r="A31" s="150"/>
      <c r="B31" s="193" t="s">
        <v>144</v>
      </c>
      <c r="C31" s="194"/>
      <c r="D31" s="26"/>
      <c r="E31" s="224"/>
      <c r="F31" s="225" t="s">
        <v>145</v>
      </c>
      <c r="G31" s="197"/>
      <c r="H31" s="198"/>
      <c r="I31" s="199" t="s">
        <v>49</v>
      </c>
      <c r="J31" s="163"/>
      <c r="K31" s="226" t="s">
        <v>146</v>
      </c>
      <c r="L31" s="204"/>
      <c r="M31" s="205"/>
      <c r="N31" s="227">
        <v>39100.0</v>
      </c>
      <c r="O31" s="150"/>
      <c r="P31" s="1"/>
      <c r="Q31" s="228"/>
      <c r="R31" s="1"/>
      <c r="S31" s="1"/>
      <c r="T31" s="1" t="s">
        <v>64</v>
      </c>
      <c r="U31" s="1">
        <v>12.0</v>
      </c>
      <c r="V31" s="1"/>
      <c r="W31" s="1" t="s">
        <v>63</v>
      </c>
      <c r="X31" s="1"/>
      <c r="Y31" s="1"/>
      <c r="Z31" s="1"/>
      <c r="AA31" s="151">
        <v>44774.0</v>
      </c>
      <c r="AB31" s="1"/>
      <c r="AC31" s="1"/>
      <c r="AD31" s="1"/>
    </row>
    <row r="32" ht="7.5" customHeight="1">
      <c r="A32" s="150"/>
      <c r="B32" s="201"/>
      <c r="C32" s="201"/>
      <c r="D32" s="201"/>
      <c r="E32" s="229"/>
      <c r="F32" s="230"/>
      <c r="G32" s="201"/>
      <c r="H32" s="201"/>
      <c r="I32" s="223"/>
      <c r="J32" s="163"/>
      <c r="K32" s="217"/>
      <c r="M32" s="218"/>
      <c r="N32" s="219"/>
      <c r="O32" s="150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51">
        <v>44805.0</v>
      </c>
      <c r="AB32" s="1"/>
      <c r="AC32" s="1"/>
      <c r="AD32" s="1"/>
    </row>
    <row r="33" ht="15.75" customHeight="1">
      <c r="A33" s="150"/>
      <c r="B33" s="231" t="s">
        <v>147</v>
      </c>
      <c r="C33" s="194"/>
      <c r="D33" s="26"/>
      <c r="E33" s="232" t="s">
        <v>50</v>
      </c>
      <c r="F33" s="196" t="s">
        <v>148</v>
      </c>
      <c r="G33" s="197"/>
      <c r="H33" s="198"/>
      <c r="I33" s="233" t="s">
        <v>63</v>
      </c>
      <c r="J33" s="163"/>
      <c r="K33" s="208"/>
      <c r="L33" s="209"/>
      <c r="M33" s="210"/>
      <c r="N33" s="222"/>
      <c r="O33" s="150"/>
      <c r="P33" s="1"/>
      <c r="Q33" s="1"/>
      <c r="R33" s="1"/>
      <c r="S33" s="1"/>
      <c r="T33" s="1" t="s">
        <v>67</v>
      </c>
      <c r="U33" s="1">
        <v>16.0</v>
      </c>
      <c r="V33" s="1"/>
      <c r="W33" s="1" t="s">
        <v>66</v>
      </c>
      <c r="X33" s="1"/>
      <c r="Y33" s="1"/>
      <c r="Z33" s="1"/>
      <c r="AA33" s="151"/>
      <c r="AB33" s="1"/>
      <c r="AC33" s="1"/>
      <c r="AD33" s="1"/>
    </row>
    <row r="34" ht="7.5" customHeight="1">
      <c r="A34" s="150"/>
      <c r="B34" s="201"/>
      <c r="C34" s="201"/>
      <c r="D34" s="201"/>
      <c r="E34" s="202"/>
      <c r="F34" s="201"/>
      <c r="G34" s="201"/>
      <c r="H34" s="201"/>
      <c r="I34" s="223"/>
      <c r="J34" s="163"/>
      <c r="K34" s="200"/>
      <c r="L34" s="200"/>
      <c r="M34" s="200"/>
      <c r="N34" s="200"/>
      <c r="O34" s="150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51">
        <v>44835.0</v>
      </c>
      <c r="AB34" s="1"/>
      <c r="AC34" s="1"/>
      <c r="AD34" s="1"/>
    </row>
    <row r="35" ht="30.0" customHeight="1">
      <c r="A35" s="150"/>
      <c r="B35" s="193" t="s">
        <v>149</v>
      </c>
      <c r="C35" s="194"/>
      <c r="D35" s="26"/>
      <c r="E35" s="220">
        <v>10.0</v>
      </c>
      <c r="F35" s="196"/>
      <c r="G35" s="197"/>
      <c r="H35" s="198"/>
      <c r="I35" s="220"/>
      <c r="J35" s="234"/>
      <c r="K35" s="235" t="s">
        <v>150</v>
      </c>
      <c r="L35" s="197"/>
      <c r="M35" s="198"/>
      <c r="N35" s="236">
        <v>700.0</v>
      </c>
      <c r="O35" s="150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51">
        <v>44866.0</v>
      </c>
      <c r="AB35" s="1"/>
      <c r="AC35" s="1"/>
      <c r="AD35" s="1"/>
    </row>
    <row r="36" ht="13.5" customHeight="1">
      <c r="A36" s="150"/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51"/>
      <c r="AB36" s="1"/>
      <c r="AC36" s="1"/>
      <c r="AD36" s="1"/>
    </row>
    <row r="37" ht="24.75" customHeight="1">
      <c r="A37" s="237"/>
      <c r="B37" s="238"/>
      <c r="C37" s="238"/>
      <c r="D37" s="238"/>
      <c r="E37" s="238"/>
      <c r="F37" s="238"/>
      <c r="G37" s="238"/>
      <c r="H37" s="238"/>
      <c r="I37" s="238"/>
      <c r="J37" s="238"/>
      <c r="K37" s="239" t="s">
        <v>151</v>
      </c>
      <c r="L37" s="68"/>
      <c r="M37" s="69"/>
      <c r="N37" s="163"/>
      <c r="O37" s="163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151">
        <v>44896.0</v>
      </c>
      <c r="AB37" s="36"/>
      <c r="AC37" s="1"/>
      <c r="AD37" s="1"/>
    </row>
    <row r="38" ht="7.5" customHeight="1">
      <c r="A38" s="237"/>
      <c r="B38" s="238"/>
      <c r="C38" s="238"/>
      <c r="D38" s="240" t="s">
        <v>152</v>
      </c>
      <c r="H38" s="238"/>
      <c r="I38" s="238"/>
      <c r="J38" s="163"/>
      <c r="K38" s="163"/>
      <c r="L38" s="163"/>
      <c r="M38" s="163"/>
      <c r="N38" s="163"/>
      <c r="O38" s="163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151">
        <v>44927.0</v>
      </c>
      <c r="AB38" s="36"/>
      <c r="AC38" s="1"/>
      <c r="AD38" s="1"/>
    </row>
    <row r="39" ht="21.0" customHeight="1">
      <c r="A39" s="237"/>
      <c r="B39" s="238"/>
      <c r="C39" s="238"/>
      <c r="H39" s="238"/>
      <c r="I39" s="238"/>
      <c r="J39" s="163"/>
      <c r="K39" s="163"/>
      <c r="L39" s="163"/>
      <c r="M39" s="163"/>
      <c r="N39" s="163"/>
      <c r="O39" s="163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151"/>
      <c r="AB39" s="36"/>
      <c r="AC39" s="1"/>
      <c r="AD39" s="1"/>
    </row>
    <row r="40" ht="9.75" customHeight="1">
      <c r="A40" s="237"/>
      <c r="B40" s="241"/>
      <c r="C40" s="241"/>
      <c r="D40" s="242"/>
      <c r="E40" s="242"/>
      <c r="F40" s="243"/>
      <c r="G40" s="244"/>
      <c r="H40" s="238"/>
      <c r="I40" s="238"/>
      <c r="J40" s="163"/>
      <c r="K40" s="163"/>
      <c r="L40" s="163"/>
      <c r="M40" s="163"/>
      <c r="N40" s="163"/>
      <c r="O40" s="163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151">
        <v>44958.0</v>
      </c>
      <c r="AB40" s="36"/>
      <c r="AC40" s="1"/>
      <c r="AD40" s="1"/>
    </row>
    <row r="41" ht="36.75" customHeight="1">
      <c r="A41" s="245"/>
      <c r="B41" s="246"/>
      <c r="C41" s="247" t="s">
        <v>153</v>
      </c>
      <c r="D41" s="194"/>
      <c r="E41" s="26"/>
      <c r="F41" s="248">
        <v>45717.0</v>
      </c>
      <c r="G41" s="249">
        <v>38000.0</v>
      </c>
      <c r="H41" s="250">
        <v>46054.0</v>
      </c>
      <c r="I41" s="251"/>
      <c r="J41" s="163"/>
      <c r="K41" s="252" t="s">
        <v>13</v>
      </c>
      <c r="L41" s="68"/>
      <c r="M41" s="69"/>
      <c r="N41" s="163"/>
      <c r="O41" s="251"/>
      <c r="P41" s="253"/>
      <c r="Q41" s="253"/>
      <c r="R41" s="253"/>
      <c r="S41" s="253"/>
      <c r="T41" s="36"/>
      <c r="U41" s="36"/>
      <c r="V41" s="36"/>
      <c r="W41" s="36"/>
      <c r="X41" s="36"/>
      <c r="Y41" s="36"/>
      <c r="Z41" s="36"/>
      <c r="AA41" s="36"/>
      <c r="AB41" s="36"/>
      <c r="AC41" s="1"/>
      <c r="AD41" s="1"/>
    </row>
    <row r="42" ht="14.25" customHeight="1">
      <c r="A42" s="254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1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1"/>
      <c r="AD42" s="1"/>
    </row>
    <row r="43" ht="39.0" customHeight="1">
      <c r="A43" s="256"/>
      <c r="B43" s="257" t="s">
        <v>154</v>
      </c>
      <c r="C43" s="257" t="s">
        <v>155</v>
      </c>
      <c r="D43" s="257" t="s">
        <v>156</v>
      </c>
      <c r="E43" s="257" t="s">
        <v>157</v>
      </c>
      <c r="F43" s="258"/>
      <c r="G43" s="257"/>
      <c r="H43" s="257"/>
      <c r="I43" s="257"/>
      <c r="J43" s="257" t="s">
        <v>158</v>
      </c>
      <c r="K43" s="257" t="s">
        <v>159</v>
      </c>
      <c r="L43" s="257" t="s">
        <v>160</v>
      </c>
      <c r="M43" s="257" t="s">
        <v>161</v>
      </c>
      <c r="N43" s="257" t="s">
        <v>162</v>
      </c>
      <c r="O43" s="251"/>
      <c r="P43" s="259"/>
      <c r="Q43" s="260"/>
      <c r="R43" s="261"/>
      <c r="S43" s="261"/>
      <c r="T43" s="261"/>
      <c r="U43" s="260"/>
      <c r="V43" s="259"/>
      <c r="W43" s="261"/>
      <c r="X43" s="259"/>
      <c r="Y43" s="259"/>
      <c r="Z43" s="74"/>
      <c r="AA43" s="74"/>
      <c r="AB43" s="74"/>
      <c r="AC43" s="1"/>
      <c r="AD43" s="1"/>
    </row>
    <row r="44" ht="25.5" customHeight="1">
      <c r="A44" s="40"/>
      <c r="B44" s="262"/>
      <c r="C44" s="262"/>
      <c r="D44" s="262"/>
      <c r="E44" s="262"/>
      <c r="F44" s="263"/>
      <c r="G44" s="262"/>
      <c r="H44" s="262"/>
      <c r="I44" s="262"/>
      <c r="J44" s="264">
        <v>650.0</v>
      </c>
      <c r="K44" s="264">
        <v>3000.0</v>
      </c>
      <c r="L44" s="264">
        <v>2100.0</v>
      </c>
      <c r="M44" s="262"/>
      <c r="N44" s="262"/>
      <c r="O44" s="251"/>
      <c r="P44" s="259"/>
      <c r="Q44" s="265"/>
      <c r="R44" s="265"/>
      <c r="S44" s="265"/>
      <c r="T44" s="265"/>
      <c r="U44" s="266"/>
      <c r="V44" s="267"/>
      <c r="W44" s="265"/>
      <c r="X44" s="259"/>
      <c r="Y44" s="259"/>
      <c r="Z44" s="74"/>
      <c r="AA44" s="74"/>
      <c r="AB44" s="74"/>
      <c r="AC44" s="1"/>
      <c r="AD44" s="1"/>
    </row>
    <row r="45" ht="15.75" customHeight="1">
      <c r="A45" s="150"/>
      <c r="B45" s="268" t="s">
        <v>163</v>
      </c>
      <c r="C45" s="269"/>
      <c r="D45" s="270"/>
      <c r="E45" s="150"/>
      <c r="F45" s="150"/>
      <c r="G45" s="150"/>
      <c r="H45" s="150"/>
      <c r="I45" s="150"/>
      <c r="J45" s="150"/>
      <c r="K45" s="150"/>
      <c r="L45" s="271"/>
      <c r="M45" s="271"/>
      <c r="N45" s="271"/>
      <c r="O45" s="25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ht="26.25" customHeight="1">
      <c r="A46" s="150"/>
      <c r="B46" s="150"/>
      <c r="C46" s="150"/>
      <c r="D46" s="150"/>
      <c r="E46" s="272" t="s">
        <v>164</v>
      </c>
      <c r="J46" s="150"/>
      <c r="K46" s="150"/>
      <c r="L46" s="273"/>
      <c r="M46" s="273"/>
      <c r="N46" s="273"/>
      <c r="O46" s="27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ht="28.5" customHeight="1">
      <c r="A47" s="150"/>
      <c r="B47" s="274" t="s">
        <v>103</v>
      </c>
      <c r="C47" s="274" t="s">
        <v>165</v>
      </c>
      <c r="D47" s="274" t="s">
        <v>166</v>
      </c>
      <c r="E47" s="274" t="s">
        <v>167</v>
      </c>
      <c r="F47" s="274" t="s">
        <v>168</v>
      </c>
      <c r="G47" s="274" t="s">
        <v>169</v>
      </c>
      <c r="H47" s="274" t="s">
        <v>170</v>
      </c>
      <c r="I47" s="274" t="s">
        <v>171</v>
      </c>
      <c r="J47" s="274" t="s">
        <v>172</v>
      </c>
      <c r="K47" s="274" t="s">
        <v>173</v>
      </c>
      <c r="L47" s="274" t="s">
        <v>174</v>
      </c>
      <c r="M47" s="274" t="s">
        <v>175</v>
      </c>
      <c r="N47" s="275"/>
      <c r="O47" s="276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ht="27.75" customHeight="1">
      <c r="A48" s="150"/>
      <c r="B48" s="145"/>
      <c r="C48" s="277"/>
      <c r="D48" s="277"/>
      <c r="E48" s="277"/>
      <c r="F48" s="277"/>
      <c r="G48" s="277"/>
      <c r="H48" s="277"/>
      <c r="I48" s="277"/>
      <c r="J48" s="277">
        <v>0.0</v>
      </c>
      <c r="K48" s="277">
        <v>0.0</v>
      </c>
      <c r="L48" s="277">
        <v>0.0</v>
      </c>
      <c r="M48" s="277">
        <v>0.0</v>
      </c>
      <c r="N48" s="150"/>
      <c r="O48" s="150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ht="21.0" customHeight="1">
      <c r="A49" s="150"/>
      <c r="B49" s="150"/>
      <c r="C49" s="150"/>
      <c r="D49" s="150"/>
      <c r="E49" s="150"/>
      <c r="F49" s="150">
        <f>MAX(F47:G48)</f>
        <v>0</v>
      </c>
      <c r="G49" s="150"/>
      <c r="H49" s="150"/>
      <c r="I49" s="150"/>
      <c r="J49" s="150"/>
      <c r="K49" s="150"/>
      <c r="L49" s="150"/>
      <c r="M49" s="278"/>
      <c r="N49" s="279"/>
      <c r="O49" s="279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ht="30.0" customHeight="1">
      <c r="A50" s="150"/>
      <c r="B50" s="150"/>
      <c r="C50" s="280" t="s">
        <v>176</v>
      </c>
      <c r="L50" s="150"/>
      <c r="M50" s="281"/>
      <c r="N50" s="282"/>
      <c r="O50" s="28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ht="25.5" customHeight="1">
      <c r="A51" s="150"/>
      <c r="B51" s="150"/>
      <c r="C51" s="150"/>
      <c r="D51" s="150"/>
      <c r="E51" s="150"/>
      <c r="F51" s="283" t="s">
        <v>177</v>
      </c>
      <c r="G51" s="68"/>
      <c r="H51" s="69"/>
      <c r="I51" s="150"/>
      <c r="J51" s="150"/>
      <c r="K51" s="150"/>
      <c r="L51" s="150"/>
      <c r="M51" s="150"/>
      <c r="N51" s="150"/>
      <c r="O51" s="150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ht="15.0" customHeight="1">
      <c r="A52" s="150"/>
      <c r="B52" s="150"/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ht="15.0" customHeight="1">
      <c r="A53" s="150"/>
      <c r="B53" s="150"/>
      <c r="C53" s="150"/>
      <c r="D53" s="150"/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ht="15.0" customHeight="1">
      <c r="A54" s="150"/>
      <c r="B54" s="150"/>
      <c r="C54" s="150"/>
      <c r="D54" s="150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ht="15.0" customHeight="1">
      <c r="A55" s="150"/>
      <c r="B55" s="150"/>
      <c r="C55" s="150"/>
      <c r="D55" s="150"/>
      <c r="E55" s="150"/>
      <c r="F55" s="150"/>
      <c r="G55" s="150"/>
      <c r="H55" s="150"/>
      <c r="I55" s="150"/>
      <c r="J55" s="150"/>
      <c r="K55" s="150"/>
      <c r="L55" s="150"/>
      <c r="M55" s="150"/>
      <c r="N55" s="150"/>
      <c r="O55" s="150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ht="15.0" customHeight="1">
      <c r="A56" s="150"/>
      <c r="B56" s="150"/>
      <c r="C56" s="150"/>
      <c r="D56" s="150"/>
      <c r="E56" s="150"/>
      <c r="F56" s="150"/>
      <c r="G56" s="150"/>
      <c r="H56" s="150"/>
      <c r="I56" s="150"/>
      <c r="J56" s="150"/>
      <c r="K56" s="150"/>
      <c r="L56" s="150"/>
      <c r="M56" s="150"/>
      <c r="N56" s="150"/>
      <c r="O56" s="150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ht="15.0" customHeight="1">
      <c r="A57" s="150"/>
      <c r="B57" s="150"/>
      <c r="C57" s="150"/>
      <c r="D57" s="150"/>
      <c r="E57" s="150"/>
      <c r="F57" s="150"/>
      <c r="G57" s="150"/>
      <c r="H57" s="150"/>
      <c r="I57" s="150"/>
      <c r="J57" s="150"/>
      <c r="K57" s="150"/>
      <c r="L57" s="150"/>
      <c r="M57" s="150"/>
      <c r="N57" s="150"/>
      <c r="O57" s="150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ht="15.0" customHeight="1">
      <c r="A58" s="150"/>
      <c r="B58" s="150"/>
      <c r="C58" s="150"/>
      <c r="D58" s="150"/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61">
    <mergeCell ref="F35:H35"/>
    <mergeCell ref="D38:G39"/>
    <mergeCell ref="C41:E41"/>
    <mergeCell ref="A43:A44"/>
    <mergeCell ref="B45:D45"/>
    <mergeCell ref="E46:I46"/>
    <mergeCell ref="C50:K50"/>
    <mergeCell ref="F51:H51"/>
    <mergeCell ref="B29:D29"/>
    <mergeCell ref="F29:H29"/>
    <mergeCell ref="B31:D31"/>
    <mergeCell ref="F31:H31"/>
    <mergeCell ref="B33:D33"/>
    <mergeCell ref="F33:H33"/>
    <mergeCell ref="B35:D35"/>
    <mergeCell ref="E2:G2"/>
    <mergeCell ref="B4:C4"/>
    <mergeCell ref="D4:I4"/>
    <mergeCell ref="K4:N4"/>
    <mergeCell ref="D6:E6"/>
    <mergeCell ref="F6:G6"/>
    <mergeCell ref="H6:I6"/>
    <mergeCell ref="B6:C6"/>
    <mergeCell ref="B8:C8"/>
    <mergeCell ref="D8:E8"/>
    <mergeCell ref="F8:G8"/>
    <mergeCell ref="H8:I8"/>
    <mergeCell ref="D10:E10"/>
    <mergeCell ref="F10:G10"/>
    <mergeCell ref="B10:C10"/>
    <mergeCell ref="B12:C12"/>
    <mergeCell ref="D12:E12"/>
    <mergeCell ref="F12:G12"/>
    <mergeCell ref="K12:N12"/>
    <mergeCell ref="B14:C14"/>
    <mergeCell ref="D14:E14"/>
    <mergeCell ref="D18:E18"/>
    <mergeCell ref="F18:G18"/>
    <mergeCell ref="K18:N18"/>
    <mergeCell ref="F14:G14"/>
    <mergeCell ref="H14:I14"/>
    <mergeCell ref="B16:C16"/>
    <mergeCell ref="D16:E16"/>
    <mergeCell ref="H16:I16"/>
    <mergeCell ref="B18:C18"/>
    <mergeCell ref="H18:I18"/>
    <mergeCell ref="K24:M25"/>
    <mergeCell ref="K27:M29"/>
    <mergeCell ref="N27:N29"/>
    <mergeCell ref="K31:M33"/>
    <mergeCell ref="N31:N33"/>
    <mergeCell ref="K35:M35"/>
    <mergeCell ref="K37:M37"/>
    <mergeCell ref="K41:M41"/>
    <mergeCell ref="F16:G16"/>
    <mergeCell ref="E21:G21"/>
    <mergeCell ref="B23:D23"/>
    <mergeCell ref="F23:H23"/>
    <mergeCell ref="B25:D25"/>
    <mergeCell ref="F25:H25"/>
    <mergeCell ref="C27:H27"/>
  </mergeCells>
  <conditionalFormatting sqref="I33">
    <cfRule type="expression" dxfId="3" priority="1">
      <formula>$E33="No"</formula>
    </cfRule>
  </conditionalFormatting>
  <conditionalFormatting sqref="I27">
    <cfRule type="expression" dxfId="3" priority="2" stopIfTrue="1">
      <formula>$I25="No"</formula>
    </cfRule>
  </conditionalFormatting>
  <conditionalFormatting sqref="I23">
    <cfRule type="expression" dxfId="4" priority="3" stopIfTrue="1">
      <formula>$E23="No"</formula>
    </cfRule>
  </conditionalFormatting>
  <dataValidations>
    <dataValidation type="list" allowBlank="1" showErrorMessage="1" sqref="E26 E28">
      <formula1>"Under 60,Above 60"</formula1>
    </dataValidation>
    <dataValidation type="list" allowBlank="1" showInputMessage="1" showErrorMessage="1" prompt="Select GPF / NPS - सलेक्ट बटन में से GPF / NPS  चुनें।  " sqref="I31">
      <formula1>gp</formula1>
    </dataValidation>
    <dataValidation type="custom" allowBlank="1" showInputMessage="1" showErrorMessage="1" prompt="Please write in Text - अरे भाई नाम लिखना हैं ...!   Text में लिखों। " sqref="D6 D7:E7">
      <formula1>ISTEXT(D6)=TRUE</formula1>
    </dataValidation>
    <dataValidation type="custom" allowBlank="1" showErrorMessage="1" sqref="E31">
      <formula1>IF(E29="YES",TRUE,"")</formula1>
    </dataValidation>
    <dataValidation type="list" allowBlank="1" showInputMessage="1" showErrorMessage="1" prompt="Select month - आप माह मार्च 2020 से फ़रवरी 2021 तक ही महीने सलेक्ट कर सकते है।  " sqref="N27 F41">
      <formula1>Month</formula1>
    </dataValidation>
    <dataValidation type="custom" allowBlank="1" showInputMessage="1" showErrorMessage="1" prompt="Write in Words - पद को शब्दों में लिखों सा । " sqref="H6 H7:I7">
      <formula1>ISTEXT(H6)=TRUE</formula1>
    </dataValidation>
    <dataValidation type="custom" allowBlank="1" showInputMessage="1" showErrorMessage="1" prompt="GPF No. Write in Digit - भाई साहब GPF नंबर अंकों में लिखते हैं ।" sqref="D14 D15:E15">
      <formula1>ISNUMBER(D14)=TRUE</formula1>
    </dataValidation>
    <dataValidation type="list" allowBlank="1" showErrorMessage="1" sqref="E25">
      <formula1>"Under 60,Above 60,Above 80"</formula1>
    </dataValidation>
    <dataValidation type="custom" allowBlank="1" showInputMessage="1" showErrorMessage="1" prompt="Write in Digit - अंको में  लिखों सा। " sqref="B44:E44 J44:N44 C48:M48">
      <formula1>ISNUMBER(B44)=TRUE</formula1>
    </dataValidation>
    <dataValidation type="custom" allowBlank="1" showInputMessage="1" showErrorMessage="1" prompt="SI No. Write in Digit - सर जी  SI  नंबर अंकों में लिखें जायेंगे।  " sqref="H14 H15:I15">
      <formula1>ISNUMBER(H14)=TRUE</formula1>
    </dataValidation>
    <dataValidation type="decimal" allowBlank="1" showErrorMessage="1" sqref="I44">
      <formula1>100.0</formula1>
      <formula2>100000.0</formula2>
    </dataValidation>
    <dataValidation type="list" allowBlank="1" showErrorMessage="1" sqref="E32">
      <formula1>"8,16,20,25"</formula1>
    </dataValidation>
    <dataValidation type="custom" allowBlank="1" showInputMessage="1" showErrorMessage="1" prompt="Write in Words - स्कूल का नाम शब्दों में लिखों सा । " sqref="D8 D9:E9">
      <formula1>ISTEXT(D8)=TRUE</formula1>
    </dataValidation>
    <dataValidation type="list" allowBlank="1" showInputMessage="1" showErrorMessage="1" prompt="Select Yes/No - केवल हाँ अथवा ना सलेक्ट करें।" sqref="H18">
      <formula1>pay_level</formula1>
    </dataValidation>
    <dataValidation type="list" allowBlank="1" showErrorMessage="1" sqref="I24">
      <formula1>Month1</formula1>
    </dataValidation>
    <dataValidation type="decimal" allowBlank="1" showErrorMessage="1" sqref="G41:I43 G44:H44">
      <formula1>20000.0</formula1>
      <formula2>100000.0</formula2>
    </dataValidation>
    <dataValidation type="custom" allowBlank="1" showErrorMessage="1" sqref="E30 N31">
      <formula1>ISNUMBER(E30)=TRUE</formula1>
    </dataValidation>
    <dataValidation type="list" allowBlank="1" showInputMessage="1" showErrorMessage="1" prompt="Select Month - सलेक्ट बटन में से Month  चुनें।  " sqref="I23">
      <formula1>Month1</formula1>
    </dataValidation>
    <dataValidation type="list" allowBlank="1" showErrorMessage="1" sqref="I27">
      <formula1>"1,2,3,4,5,6,7,8,9,11,12,10"</formula1>
    </dataValidation>
    <dataValidation type="list" allowBlank="1" showErrorMessage="1" sqref="I30">
      <formula1>pay</formula1>
    </dataValidation>
    <dataValidation type="list" allowBlank="1" showInputMessage="1" showErrorMessage="1" prompt="केवल हाँ अथवा ना सलेक्ट करें।" sqref="E23:E24 I25:I26 I28 E29 E33:E34">
      <formula1>ye</formula1>
    </dataValidation>
    <dataValidation type="list" allowBlank="1" showInputMessage="1" showErrorMessage="1" prompt="Select Regular Pay / Fix Pay - सलेक्ट बटन में से Regular Pay / Fix Pay  चुनें।  " sqref="I29">
      <formula1>pay</formula1>
    </dataValidation>
    <dataValidation type="custom" allowBlank="1" showInputMessage="1" showErrorMessage="1" prompt="Fill here PRAN No. - write here  PRAN No. in Digit" sqref="D16">
      <formula1>ISNUMBER(D16)=TRUE</formula1>
    </dataValidation>
    <dataValidation type="custom" allowBlank="1" showInputMessage="1" showErrorMessage="1" prompt="Write DDO Name in Words - डीडीओ साहब का नाम शब्दों में आयेगा सा । " sqref="H8 H9:I9">
      <formula1>ISTEXT(H8)=TRUE</formula1>
    </dataValidation>
    <dataValidation type="list" allowBlank="1" showErrorMessage="1" sqref="I32">
      <formula1>gp</formula1>
    </dataValidation>
    <dataValidation type="custom" allowBlank="1" showInputMessage="1" showErrorMessage="1" prompt="Write in Digit - अंकल सैलरी अंको में लिखी जाती हैं। " sqref="N25">
      <formula1>ISNUMBER(N25)=TRUE</formula1>
    </dataValidation>
    <dataValidation type="list" allowBlank="1" showInputMessage="1" showErrorMessage="1" prompt="Select Gazetted / Non-gazetted - राजपत्रित अधिकारी होने पर Gazetted और अराजपत्रित होने पर Non-Gazetted सलेक्ट करें।" sqref="D18">
      <formula1>"Gazetted,Non-Gazetted"</formula1>
    </dataValidation>
    <dataValidation type="custom" allowBlank="1" showErrorMessage="1" sqref="D5:I5">
      <formula1>ISTEXT(D5:I5)=TRUE</formula1>
    </dataValidation>
    <dataValidation type="list" allowBlank="1" showErrorMessage="1" sqref="E35">
      <formula1>"10,20,25,30"</formula1>
    </dataValidation>
    <dataValidation type="list" allowBlank="1" showInputMessage="1" showErrorMessage="1" prompt="write here Only in Digit - भाई लेवल को केवल 1 से  24 तक नंबर में  ही लिखें" sqref="I35">
      <formula1>"10,20,30,40"</formula1>
    </dataValidation>
    <dataValidation type="custom" allowBlank="1" showErrorMessage="1" sqref="D4 D17:E17">
      <formula1>ISTEXT(D4)=TRUE</formula1>
    </dataValidation>
    <dataValidation type="list" allowBlank="1" showErrorMessage="1" sqref="I33:I34">
      <formula1>CCA</formula1>
    </dataValidation>
    <dataValidation type="custom" allowBlank="1" showInputMessage="1" showErrorMessage="1" prompt="Fill here A./ C. No. - write here  Bank Account No. in Digit" sqref="H16">
      <formula1>ISNUMBER(H16)=TRUE</formula1>
    </dataValidation>
  </dataValidations>
  <hyperlinks>
    <hyperlink r:id="rId1" ref="K41"/>
  </hyperlinks>
  <printOptions/>
  <pageMargins bottom="0.75" footer="0.0" header="0.0" left="0.7" right="0.7" top="0.75"/>
  <pageSetup paperSize="9" orientation="landscape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9.0"/>
    <col customWidth="1" min="2" max="2" width="3.43"/>
    <col customWidth="1" min="3" max="3" width="59.0"/>
    <col customWidth="1" min="4" max="4" width="6.29"/>
    <col customWidth="1" min="5" max="5" width="18.57"/>
    <col customWidth="1" min="6" max="6" width="3.43"/>
    <col customWidth="1" min="7" max="7" width="25.29"/>
    <col customWidth="1" min="8" max="8" width="16.43"/>
    <col customWidth="1" min="9" max="9" width="22.0"/>
    <col customWidth="1" min="10" max="10" width="15.0"/>
    <col customWidth="1" min="11" max="11" width="16.57"/>
    <col customWidth="1" min="12" max="12" width="3.43"/>
    <col customWidth="1" min="13" max="13" width="9.0"/>
    <col customWidth="1" min="14" max="26" width="8.71"/>
  </cols>
  <sheetData>
    <row r="1" ht="37.5" customHeight="1">
      <c r="A1" s="284" t="s">
        <v>178</v>
      </c>
      <c r="B1" s="68"/>
      <c r="C1" s="69"/>
      <c r="D1" s="285"/>
      <c r="E1" s="285"/>
      <c r="F1" s="285"/>
      <c r="G1" s="285"/>
      <c r="H1" s="285"/>
      <c r="I1" s="285"/>
      <c r="J1" s="285"/>
      <c r="K1" s="286" t="s">
        <v>179</v>
      </c>
      <c r="L1" s="285"/>
      <c r="M1" s="28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8.75" customHeight="1">
      <c r="A2" s="285"/>
      <c r="B2" s="287" t="s">
        <v>180</v>
      </c>
      <c r="C2" s="69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7.0" customHeight="1">
      <c r="A3" s="285"/>
      <c r="B3" s="285"/>
      <c r="C3" s="288" t="s">
        <v>181</v>
      </c>
      <c r="L3" s="285"/>
      <c r="M3" s="285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.75" customHeight="1">
      <c r="A4" s="285"/>
      <c r="B4" s="285"/>
      <c r="C4" s="285"/>
      <c r="D4" s="285"/>
      <c r="E4" s="285"/>
      <c r="F4" s="285"/>
      <c r="G4" s="285"/>
      <c r="H4" s="285"/>
      <c r="I4" s="285"/>
      <c r="J4" s="285"/>
      <c r="K4" s="285"/>
      <c r="L4" s="285"/>
      <c r="M4" s="285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75" customHeight="1">
      <c r="A5" s="28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85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24.75" customHeight="1">
      <c r="A6" s="285"/>
      <c r="B6" s="1"/>
      <c r="C6" s="289" t="s">
        <v>182</v>
      </c>
      <c r="D6" s="290" t="s">
        <v>50</v>
      </c>
      <c r="E6" s="291">
        <f>IF(D6="Yes",'HRA Calculation'!J10,0)</f>
        <v>0</v>
      </c>
      <c r="F6" s="292"/>
      <c r="G6" s="293" t="s">
        <v>183</v>
      </c>
      <c r="H6" s="294"/>
      <c r="I6" s="294"/>
      <c r="J6" s="295"/>
      <c r="K6" s="296"/>
      <c r="L6" s="297"/>
      <c r="M6" s="285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24.75" customHeight="1">
      <c r="A7" s="285"/>
      <c r="B7" s="1"/>
      <c r="C7" s="298" t="s">
        <v>184</v>
      </c>
      <c r="D7" s="299"/>
      <c r="E7" s="296">
        <v>75000.0</v>
      </c>
      <c r="F7" s="300"/>
      <c r="G7" s="293" t="s">
        <v>185</v>
      </c>
      <c r="H7" s="294"/>
      <c r="I7" s="294"/>
      <c r="J7" s="295"/>
      <c r="K7" s="296"/>
      <c r="L7" s="300"/>
      <c r="M7" s="285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4.75" customHeight="1">
      <c r="A8" s="285"/>
      <c r="B8" s="1"/>
      <c r="C8" s="298" t="s">
        <v>186</v>
      </c>
      <c r="D8" s="299"/>
      <c r="E8" s="296"/>
      <c r="F8" s="300"/>
      <c r="G8" s="293" t="s">
        <v>187</v>
      </c>
      <c r="H8" s="294"/>
      <c r="I8" s="294"/>
      <c r="J8" s="295"/>
      <c r="K8" s="296"/>
      <c r="L8" s="300"/>
      <c r="M8" s="285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24.75" customHeight="1">
      <c r="A9" s="285"/>
      <c r="B9" s="1"/>
      <c r="C9" s="298" t="s">
        <v>188</v>
      </c>
      <c r="D9" s="299"/>
      <c r="E9" s="296"/>
      <c r="F9" s="300"/>
      <c r="G9" s="293" t="s">
        <v>189</v>
      </c>
      <c r="H9" s="294"/>
      <c r="I9" s="294"/>
      <c r="J9" s="295"/>
      <c r="K9" s="296"/>
      <c r="L9" s="300"/>
      <c r="M9" s="285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4.75" customHeight="1">
      <c r="A10" s="285"/>
      <c r="B10" s="1"/>
      <c r="C10" s="298" t="s">
        <v>190</v>
      </c>
      <c r="D10" s="299"/>
      <c r="E10" s="296"/>
      <c r="F10" s="300"/>
      <c r="G10" s="293" t="s">
        <v>191</v>
      </c>
      <c r="H10" s="294"/>
      <c r="I10" s="294"/>
      <c r="J10" s="295"/>
      <c r="K10" s="296"/>
      <c r="L10" s="300"/>
      <c r="M10" s="285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33.0" customHeight="1">
      <c r="A11" s="285"/>
      <c r="B11" s="1"/>
      <c r="C11" s="298" t="s">
        <v>192</v>
      </c>
      <c r="D11" s="299"/>
      <c r="E11" s="296"/>
      <c r="F11" s="300"/>
      <c r="G11" s="301" t="s">
        <v>193</v>
      </c>
      <c r="H11" s="294"/>
      <c r="I11" s="294"/>
      <c r="J11" s="295"/>
      <c r="K11" s="296"/>
      <c r="L11" s="300"/>
      <c r="M11" s="285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4.75" customHeight="1">
      <c r="A12" s="285"/>
      <c r="B12" s="1"/>
      <c r="C12" s="298" t="s">
        <v>194</v>
      </c>
      <c r="D12" s="299"/>
      <c r="E12" s="296"/>
      <c r="F12" s="300"/>
      <c r="G12" s="293" t="s">
        <v>195</v>
      </c>
      <c r="H12" s="294"/>
      <c r="I12" s="294"/>
      <c r="J12" s="295"/>
      <c r="K12" s="296"/>
      <c r="L12" s="300"/>
      <c r="M12" s="285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4.75" customHeight="1">
      <c r="A13" s="285"/>
      <c r="B13" s="1"/>
      <c r="C13" s="302" t="s">
        <v>196</v>
      </c>
      <c r="D13" s="299"/>
      <c r="E13" s="296"/>
      <c r="F13" s="300"/>
      <c r="G13" s="293" t="s">
        <v>197</v>
      </c>
      <c r="H13" s="294"/>
      <c r="I13" s="294"/>
      <c r="J13" s="295"/>
      <c r="K13" s="296"/>
      <c r="L13" s="300"/>
      <c r="M13" s="285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24.75" customHeight="1">
      <c r="A14" s="285"/>
      <c r="B14" s="1"/>
      <c r="C14" s="303" t="s">
        <v>198</v>
      </c>
      <c r="D14" s="299"/>
      <c r="E14" s="296"/>
      <c r="F14" s="300"/>
      <c r="G14" s="301" t="s">
        <v>199</v>
      </c>
      <c r="H14" s="294"/>
      <c r="I14" s="294"/>
      <c r="J14" s="295"/>
      <c r="K14" s="296"/>
      <c r="L14" s="300"/>
      <c r="M14" s="285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24.75" customHeight="1">
      <c r="A15" s="285"/>
      <c r="B15" s="1"/>
      <c r="C15" s="298" t="s">
        <v>200</v>
      </c>
      <c r="D15" s="299"/>
      <c r="E15" s="296"/>
      <c r="F15" s="300"/>
      <c r="G15" s="293" t="s">
        <v>201</v>
      </c>
      <c r="H15" s="294"/>
      <c r="I15" s="294"/>
      <c r="J15" s="295"/>
      <c r="K15" s="296"/>
      <c r="L15" s="300"/>
      <c r="M15" s="285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4.75" customHeight="1">
      <c r="A16" s="285"/>
      <c r="B16" s="1"/>
      <c r="C16" s="298" t="s">
        <v>202</v>
      </c>
      <c r="D16" s="299"/>
      <c r="E16" s="296"/>
      <c r="F16" s="300"/>
      <c r="G16" s="293" t="s">
        <v>203</v>
      </c>
      <c r="H16" s="294"/>
      <c r="I16" s="294"/>
      <c r="J16" s="295"/>
      <c r="K16" s="296"/>
      <c r="L16" s="300"/>
      <c r="M16" s="285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4.75" customHeight="1">
      <c r="A17" s="285"/>
      <c r="B17" s="1"/>
      <c r="C17" s="298" t="s">
        <v>204</v>
      </c>
      <c r="D17" s="299"/>
      <c r="E17" s="296"/>
      <c r="F17" s="300"/>
      <c r="G17" s="293" t="s">
        <v>205</v>
      </c>
      <c r="H17" s="294"/>
      <c r="I17" s="294"/>
      <c r="J17" s="295"/>
      <c r="K17" s="296"/>
      <c r="L17" s="300"/>
      <c r="M17" s="285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4.75" customHeight="1">
      <c r="A18" s="285"/>
      <c r="B18" s="1"/>
      <c r="C18" s="298" t="s">
        <v>206</v>
      </c>
      <c r="D18" s="299"/>
      <c r="E18" s="296"/>
      <c r="F18" s="300"/>
      <c r="G18" s="293" t="s">
        <v>207</v>
      </c>
      <c r="H18" s="294"/>
      <c r="I18" s="294"/>
      <c r="J18" s="295"/>
      <c r="K18" s="296"/>
      <c r="L18" s="300"/>
      <c r="M18" s="285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4.75" customHeight="1">
      <c r="A19" s="285"/>
      <c r="B19" s="1"/>
      <c r="C19" s="298" t="s">
        <v>208</v>
      </c>
      <c r="D19" s="299"/>
      <c r="E19" s="296"/>
      <c r="F19" s="300"/>
      <c r="G19" s="304" t="s">
        <v>209</v>
      </c>
      <c r="H19" s="305"/>
      <c r="I19" s="305"/>
      <c r="J19" s="306"/>
      <c r="K19" s="307">
        <f>SUM(H20)+ROUND(J20/2,0)</f>
        <v>0</v>
      </c>
      <c r="L19" s="300"/>
      <c r="M19" s="285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24.75" customHeight="1">
      <c r="A20" s="285"/>
      <c r="B20" s="1"/>
      <c r="C20" s="298" t="s">
        <v>210</v>
      </c>
      <c r="D20" s="299"/>
      <c r="E20" s="296"/>
      <c r="F20" s="300"/>
      <c r="G20" s="308" t="s">
        <v>211</v>
      </c>
      <c r="H20" s="309"/>
      <c r="I20" s="310" t="s">
        <v>212</v>
      </c>
      <c r="J20" s="309"/>
      <c r="K20" s="311"/>
      <c r="L20" s="300"/>
      <c r="M20" s="285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4.75" customHeight="1">
      <c r="A21" s="285"/>
      <c r="B21" s="1"/>
      <c r="C21" s="298" t="s">
        <v>213</v>
      </c>
      <c r="D21" s="299"/>
      <c r="E21" s="296"/>
      <c r="F21" s="300"/>
      <c r="G21" s="312" t="s">
        <v>214</v>
      </c>
      <c r="H21" s="313"/>
      <c r="I21" s="313"/>
      <c r="J21" s="299"/>
      <c r="K21" s="296"/>
      <c r="L21" s="300"/>
      <c r="M21" s="285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4.75" customHeight="1">
      <c r="A22" s="285"/>
      <c r="B22" s="1"/>
      <c r="C22" s="298" t="s">
        <v>215</v>
      </c>
      <c r="D22" s="299"/>
      <c r="E22" s="296"/>
      <c r="F22" s="300"/>
      <c r="G22" s="314" t="s">
        <v>216</v>
      </c>
      <c r="H22" s="294"/>
      <c r="I22" s="294"/>
      <c r="J22" s="295"/>
      <c r="K22" s="296"/>
      <c r="L22" s="300"/>
      <c r="M22" s="285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4.75" customHeight="1">
      <c r="A23" s="285"/>
      <c r="B23" s="1"/>
      <c r="C23" s="298" t="s">
        <v>217</v>
      </c>
      <c r="D23" s="299"/>
      <c r="E23" s="296"/>
      <c r="F23" s="300"/>
      <c r="G23" s="293" t="s">
        <v>218</v>
      </c>
      <c r="H23" s="294"/>
      <c r="I23" s="294"/>
      <c r="J23" s="295"/>
      <c r="K23" s="296"/>
      <c r="L23" s="300"/>
      <c r="M23" s="285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4.75" customHeight="1">
      <c r="A24" s="285"/>
      <c r="B24" s="1"/>
      <c r="C24" s="298" t="s">
        <v>219</v>
      </c>
      <c r="D24" s="299"/>
      <c r="E24" s="296"/>
      <c r="F24" s="300"/>
      <c r="G24" s="315" t="s">
        <v>220</v>
      </c>
      <c r="H24" s="294"/>
      <c r="I24" s="316"/>
      <c r="J24" s="220" t="s">
        <v>50</v>
      </c>
      <c r="K24" s="296">
        <f>IF(J24="Yes",form10E!M28,0)</f>
        <v>0</v>
      </c>
      <c r="L24" s="300"/>
      <c r="M24" s="285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4.75" customHeight="1">
      <c r="A25" s="285"/>
      <c r="B25" s="1"/>
      <c r="C25" s="317" t="s">
        <v>221</v>
      </c>
      <c r="D25" s="299"/>
      <c r="E25" s="296"/>
      <c r="F25" s="23"/>
      <c r="G25" s="293" t="s">
        <v>222</v>
      </c>
      <c r="H25" s="294"/>
      <c r="I25" s="294"/>
      <c r="J25" s="295"/>
      <c r="K25" s="296"/>
      <c r="L25" s="36"/>
      <c r="M25" s="285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6.5" customHeight="1">
      <c r="A26" s="285"/>
      <c r="B26" s="1"/>
      <c r="C26" s="23"/>
      <c r="L26" s="1"/>
      <c r="M26" s="285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285"/>
      <c r="B27" s="285"/>
      <c r="C27" s="285"/>
      <c r="D27" s="285"/>
      <c r="E27" s="285"/>
      <c r="F27" s="285"/>
      <c r="G27" s="285"/>
      <c r="H27" s="285"/>
      <c r="I27" s="285"/>
      <c r="J27" s="285"/>
      <c r="K27" s="285"/>
      <c r="L27" s="285"/>
      <c r="M27" s="285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285"/>
      <c r="B28" s="285"/>
      <c r="C28" s="285"/>
      <c r="D28" s="285"/>
      <c r="E28" s="285"/>
      <c r="F28" s="285"/>
      <c r="G28" s="285"/>
      <c r="H28" s="285"/>
      <c r="I28" s="285"/>
      <c r="J28" s="285"/>
      <c r="K28" s="285"/>
      <c r="L28" s="285"/>
      <c r="M28" s="285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285"/>
      <c r="B29" s="285"/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285"/>
      <c r="B30" s="285"/>
      <c r="C30" s="285"/>
      <c r="D30" s="285"/>
      <c r="E30" s="285"/>
      <c r="F30" s="285"/>
      <c r="G30" s="285"/>
      <c r="H30" s="285"/>
      <c r="I30" s="285"/>
      <c r="J30" s="285"/>
      <c r="K30" s="285"/>
      <c r="L30" s="285"/>
      <c r="M30" s="285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5">
    <mergeCell ref="C7:D7"/>
    <mergeCell ref="C8:D8"/>
    <mergeCell ref="C10:D10"/>
    <mergeCell ref="G10:J10"/>
    <mergeCell ref="C11:D11"/>
    <mergeCell ref="G11:J11"/>
    <mergeCell ref="C12:D12"/>
    <mergeCell ref="G12:J12"/>
    <mergeCell ref="C13:D13"/>
    <mergeCell ref="G13:J13"/>
    <mergeCell ref="C14:D14"/>
    <mergeCell ref="G14:J14"/>
    <mergeCell ref="C15:D15"/>
    <mergeCell ref="G15:J15"/>
    <mergeCell ref="K19:K20"/>
    <mergeCell ref="C20:D20"/>
    <mergeCell ref="C23:D23"/>
    <mergeCell ref="G23:J23"/>
    <mergeCell ref="C24:D24"/>
    <mergeCell ref="G24:I24"/>
    <mergeCell ref="C25:D25"/>
    <mergeCell ref="G25:J25"/>
    <mergeCell ref="C26:K26"/>
    <mergeCell ref="A1:C1"/>
    <mergeCell ref="B2:C2"/>
    <mergeCell ref="C3:K3"/>
    <mergeCell ref="F6:F24"/>
    <mergeCell ref="G6:J6"/>
    <mergeCell ref="L6:L24"/>
    <mergeCell ref="G7:J7"/>
    <mergeCell ref="G8:J8"/>
    <mergeCell ref="C9:D9"/>
    <mergeCell ref="G9:J9"/>
    <mergeCell ref="C16:D16"/>
    <mergeCell ref="G16:J16"/>
    <mergeCell ref="C17:D17"/>
    <mergeCell ref="G17:J17"/>
    <mergeCell ref="C18:D18"/>
    <mergeCell ref="G18:J18"/>
    <mergeCell ref="C19:D19"/>
    <mergeCell ref="G19:J19"/>
    <mergeCell ref="C21:D21"/>
    <mergeCell ref="G21:J21"/>
    <mergeCell ref="C22:D22"/>
    <mergeCell ref="G22:J22"/>
  </mergeCells>
  <dataValidations>
    <dataValidation type="custom" allowBlank="1" showInputMessage="1" showErrorMessage="1" prompt="Write in Digit only - Please input Data  in Digit / Number only" sqref="E7 E14:E24">
      <formula1>ISNUMBER(E7)=TRUE</formula1>
    </dataValidation>
    <dataValidation type="custom" allowBlank="1" showInputMessage="1" showErrorMessage="1" prompt="write Digit in only - Please input Data in Digit Only" sqref="K6:K19 K21:K25">
      <formula1>ISNUMBER(K6)=TRUE</formula1>
    </dataValidation>
    <dataValidation type="custom" allowBlank="1" showInputMessage="1" showErrorMessage="1" prompt="write in Digit only - Please input Data in Number uncle" sqref="E6">
      <formula1>ISNUMBER(E6)=TRUE</formula1>
    </dataValidation>
    <dataValidation type="list" allowBlank="1" showInputMessage="1" showErrorMessage="1" prompt="केवल हाँ अथवा ना सलेक्ट करें।" sqref="D6 J24">
      <formula1>ye</formula1>
    </dataValidation>
    <dataValidation type="decimal" operator="lessThanOrEqual" allowBlank="1" showInputMessage="1" showErrorMessage="1" prompt="Write Entertainment allowance - Please input Max. Interest 5000" sqref="E8">
      <formula1>5000.0</formula1>
    </dataValidation>
    <dataValidation type="decimal" operator="lessThanOrEqual" allowBlank="1" showInputMessage="1" showErrorMessage="1" prompt="Write Interest of Home loan - Please input Max. Interest 50000 and read new guideline" sqref="E13">
      <formula1>50000.0</formula1>
    </dataValidation>
    <dataValidation type="decimal" operator="lessThanOrEqual" allowBlank="1" showInputMessage="1" showErrorMessage="1" prompt="Write Professional tax paid - Please input Max. Interest 2500" sqref="E9">
      <formula1>2500.0</formula1>
    </dataValidation>
    <dataValidation type="custom" allowBlank="1" showInputMessage="1" showErrorMessage="1" prompt="Write in Digit only - Please input Data  in Digit / Number only" sqref="E10:E12">
      <formula1>ISNUMBER(#REF!)=TRUE</formula1>
    </dataValidation>
    <dataValidation type="decimal" operator="lessThanOrEqual" allowBlank="1" showInputMessage="1" showErrorMessage="1" prompt="Write Interest of Home loan - Please input Max. Interest 150000 and read new guideline" sqref="E25">
      <formula1>150000.0</formula1>
    </dataValidation>
  </dataValidations>
  <hyperlinks>
    <hyperlink r:id="rId1" ref="A1"/>
    <hyperlink r:id="rId2" ref="K1"/>
  </hyperlinks>
  <printOptions/>
  <pageMargins bottom="0.75" footer="0.0" header="0.0" left="0.7" right="0.7" top="0.75"/>
  <pageSetup paperSize="9" orientation="landscape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7.0"/>
    <col customWidth="1" min="2" max="2" width="3.86"/>
    <col customWidth="1" min="3" max="3" width="20.71"/>
    <col customWidth="1" min="4" max="4" width="10.0"/>
    <col customWidth="1" min="5" max="5" width="11.86"/>
    <col customWidth="1" min="6" max="6" width="11.43"/>
    <col customWidth="1" min="7" max="7" width="10.0"/>
    <col customWidth="1" min="8" max="8" width="3.29"/>
    <col customWidth="1" min="9" max="9" width="48.43"/>
    <col customWidth="1" min="10" max="10" width="17.29"/>
    <col customWidth="1" min="11" max="11" width="4.57"/>
    <col customWidth="1" min="12" max="12" width="4.43"/>
    <col customWidth="1" min="13" max="13" width="8.14"/>
    <col customWidth="1" hidden="1" min="14" max="16" width="9.0"/>
    <col customWidth="1" hidden="1" min="17" max="17" width="3.43"/>
    <col customWidth="1" hidden="1" min="18" max="22" width="8.71"/>
    <col customWidth="1" min="23" max="26" width="8.71"/>
  </cols>
  <sheetData>
    <row r="1" ht="55.5" customHeight="1">
      <c r="A1" s="318"/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6.25" customHeight="1">
      <c r="A2" s="319"/>
      <c r="B2" s="320"/>
      <c r="C2" s="321" t="s">
        <v>223</v>
      </c>
      <c r="D2" s="322"/>
      <c r="E2" s="322"/>
      <c r="F2" s="322"/>
      <c r="G2" s="322"/>
      <c r="H2" s="322"/>
      <c r="I2" s="322"/>
      <c r="J2" s="322"/>
      <c r="K2" s="323"/>
      <c r="L2" s="324"/>
      <c r="M2" s="319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</row>
    <row r="3" ht="26.25" customHeight="1">
      <c r="A3" s="319"/>
      <c r="B3" s="326"/>
      <c r="C3" s="327"/>
      <c r="D3" s="328"/>
      <c r="E3" s="328"/>
      <c r="F3" s="328"/>
      <c r="G3" s="328"/>
      <c r="H3" s="329"/>
      <c r="I3" s="328"/>
      <c r="J3" s="328"/>
      <c r="K3" s="330"/>
      <c r="L3" s="331"/>
      <c r="M3" s="319"/>
      <c r="N3" s="325"/>
      <c r="O3" s="325"/>
      <c r="P3" s="325"/>
      <c r="Q3" s="325"/>
      <c r="R3" s="325"/>
      <c r="S3" s="325"/>
      <c r="T3" s="325"/>
      <c r="U3" s="325"/>
      <c r="V3" s="325"/>
      <c r="W3" s="325"/>
      <c r="X3" s="325"/>
      <c r="Y3" s="325"/>
      <c r="Z3" s="325"/>
    </row>
    <row r="4" ht="35.25" customHeight="1">
      <c r="A4" s="319"/>
      <c r="B4" s="326"/>
      <c r="C4" s="332" t="s">
        <v>224</v>
      </c>
      <c r="D4" s="333" t="s">
        <v>225</v>
      </c>
      <c r="E4" s="334" t="s">
        <v>226</v>
      </c>
      <c r="F4" s="335" t="s">
        <v>36</v>
      </c>
      <c r="G4" s="319"/>
      <c r="I4" s="336" t="s">
        <v>227</v>
      </c>
      <c r="K4" s="331"/>
      <c r="L4" s="331"/>
      <c r="M4" s="319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</row>
    <row r="5" ht="24.75" customHeight="1">
      <c r="A5" s="319"/>
      <c r="B5" s="326"/>
      <c r="C5" s="337" t="s">
        <v>228</v>
      </c>
      <c r="D5" s="338" t="s">
        <v>229</v>
      </c>
      <c r="E5" s="339">
        <f>IF('GA55 Check &amp; Edit'!BB12="","",IF(D5="Y",'GA55 Check &amp; Edit'!BA12+'GA55 Check &amp; Edit'!BC12,0))</f>
        <v>58140</v>
      </c>
      <c r="F5" s="340">
        <f>IF(E5="","",IF(D5="Y",ROUND('Master Data'!$E$35%*'GA55 Check &amp; Edit'!BA12,0),"0"))</f>
        <v>3800</v>
      </c>
      <c r="G5" s="341"/>
      <c r="K5" s="331"/>
      <c r="L5" s="331"/>
      <c r="M5" s="319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</row>
    <row r="6" ht="24.75" customHeight="1">
      <c r="A6" s="319"/>
      <c r="B6" s="326"/>
      <c r="C6" s="342" t="s">
        <v>230</v>
      </c>
      <c r="D6" s="343" t="s">
        <v>229</v>
      </c>
      <c r="E6" s="339">
        <f>IF('GA55 Check &amp; Edit'!BB13="","",IF(D6="Y",'GA55 Check &amp; Edit'!BA13+'GA55 Check &amp; Edit'!BC13,0))</f>
        <v>58900</v>
      </c>
      <c r="F6" s="340">
        <f>IF(E6="","",IF(D6="Y",ROUND('Master Data'!$E$35%*'GA55 Check &amp; Edit'!BA13,0),"0"))</f>
        <v>3800</v>
      </c>
      <c r="G6" s="341"/>
      <c r="I6" s="344" t="s">
        <v>231</v>
      </c>
      <c r="K6" s="331"/>
      <c r="L6" s="331"/>
      <c r="M6" s="319"/>
      <c r="N6" s="325"/>
      <c r="O6" s="325"/>
      <c r="P6" s="325"/>
      <c r="Q6" s="325"/>
      <c r="R6" s="325"/>
      <c r="S6" s="325"/>
      <c r="T6" s="325"/>
      <c r="U6" s="325"/>
      <c r="V6" s="325"/>
      <c r="W6" s="325"/>
      <c r="X6" s="325"/>
      <c r="Y6" s="325"/>
      <c r="Z6" s="325"/>
    </row>
    <row r="7" ht="24.75" customHeight="1">
      <c r="A7" s="319"/>
      <c r="B7" s="326"/>
      <c r="C7" s="342" t="s">
        <v>232</v>
      </c>
      <c r="D7" s="343" t="s">
        <v>229</v>
      </c>
      <c r="E7" s="339">
        <f>IF('GA55 Check &amp; Edit'!BB14="","",IF(D7="Y",'GA55 Check &amp; Edit'!BA14+'GA55 Check &amp; Edit'!BC14,0))</f>
        <v>58900</v>
      </c>
      <c r="F7" s="340">
        <f>IF(E7="","",IF(D7="Y",ROUND('Master Data'!$E$35%*'GA55 Check &amp; Edit'!BA14,0),"0"))</f>
        <v>3800</v>
      </c>
      <c r="G7" s="341"/>
      <c r="K7" s="331"/>
      <c r="L7" s="331"/>
      <c r="M7" s="319"/>
      <c r="N7" s="325"/>
      <c r="O7" s="325"/>
      <c r="P7" s="325"/>
      <c r="Q7" s="325"/>
      <c r="R7" s="325"/>
      <c r="S7" s="325"/>
      <c r="T7" s="325"/>
      <c r="U7" s="325"/>
      <c r="V7" s="325"/>
      <c r="W7" s="325"/>
      <c r="X7" s="325"/>
      <c r="Y7" s="325"/>
      <c r="Z7" s="325"/>
    </row>
    <row r="8" ht="24.75" customHeight="1">
      <c r="A8" s="319"/>
      <c r="B8" s="326"/>
      <c r="C8" s="342" t="s">
        <v>233</v>
      </c>
      <c r="D8" s="343" t="s">
        <v>229</v>
      </c>
      <c r="E8" s="339">
        <f>IF('GA55 Check &amp; Edit'!BB15="","",IF(D8="Y",'GA55 Check &amp; Edit'!BA15+'GA55 Check &amp; Edit'!BC15,0))</f>
        <v>58900</v>
      </c>
      <c r="F8" s="340">
        <f>IF(E8="","",IF(D8="Y",ROUND('Master Data'!$E$35%*'GA55 Check &amp; Edit'!BA15,0),"0"))</f>
        <v>3800</v>
      </c>
      <c r="G8" s="341"/>
      <c r="I8" s="319"/>
      <c r="J8" s="319"/>
      <c r="K8" s="345"/>
      <c r="L8" s="331"/>
      <c r="M8" s="319"/>
      <c r="N8" s="325"/>
      <c r="O8" s="325"/>
      <c r="P8" s="325"/>
      <c r="Q8" s="325"/>
      <c r="R8" s="325"/>
      <c r="S8" s="325"/>
      <c r="T8" s="325"/>
      <c r="U8" s="325"/>
      <c r="V8" s="325"/>
      <c r="W8" s="325"/>
      <c r="X8" s="325"/>
      <c r="Y8" s="325"/>
      <c r="Z8" s="325"/>
    </row>
    <row r="9" ht="24.75" customHeight="1">
      <c r="A9" s="319"/>
      <c r="B9" s="326"/>
      <c r="C9" s="342" t="s">
        <v>234</v>
      </c>
      <c r="D9" s="343" t="s">
        <v>229</v>
      </c>
      <c r="E9" s="339">
        <f>IF('GA55 Check &amp; Edit'!BB16="","",IF(D9="Y",'GA55 Check &amp; Edit'!BA16+'GA55 Check &amp; Edit'!BC16,0))</f>
        <v>60605</v>
      </c>
      <c r="F9" s="340">
        <f>IF(E9="","",IF(D9="Y",ROUND('Master Data'!$E$35%*'GA55 Check &amp; Edit'!BA16,0),"0"))</f>
        <v>3910</v>
      </c>
      <c r="G9" s="341"/>
      <c r="I9" s="346" t="s">
        <v>235</v>
      </c>
      <c r="J9" s="347">
        <v>10000.0</v>
      </c>
      <c r="K9" s="345"/>
      <c r="L9" s="331"/>
      <c r="M9" s="319"/>
      <c r="N9" s="325"/>
      <c r="O9" s="325"/>
      <c r="P9" s="325"/>
      <c r="Q9" s="325"/>
      <c r="R9" s="325"/>
      <c r="S9" s="325"/>
      <c r="T9" s="325"/>
      <c r="U9" s="325"/>
      <c r="V9" s="325"/>
      <c r="W9" s="325"/>
      <c r="X9" s="325"/>
      <c r="Y9" s="325"/>
      <c r="Z9" s="325"/>
    </row>
    <row r="10" ht="24.75" customHeight="1">
      <c r="A10" s="319"/>
      <c r="B10" s="326"/>
      <c r="C10" s="342" t="s">
        <v>236</v>
      </c>
      <c r="D10" s="343" t="s">
        <v>229</v>
      </c>
      <c r="E10" s="339">
        <f>IF('GA55 Check &amp; Edit'!BB17="","",IF(D10="Y",'GA55 Check &amp; Edit'!BA17+'GA55 Check &amp; Edit'!BC17,0))</f>
        <v>60605</v>
      </c>
      <c r="F10" s="340">
        <f>IF(E10="","",IF(D10="Y",ROUND('Master Data'!$E$35%*'GA55 Check &amp; Edit'!BA17,0),"0"))</f>
        <v>3910</v>
      </c>
      <c r="G10" s="341"/>
      <c r="I10" s="348" t="s">
        <v>237</v>
      </c>
      <c r="J10" s="349" t="str">
        <f>IF((J9*D17)&gt;E19*10%,MIN(ROUND(J9*D17-(E19)*10%,0),J19,J13),0)</f>
        <v>#ERROR!</v>
      </c>
      <c r="K10" s="345"/>
      <c r="L10" s="331"/>
      <c r="M10" s="319"/>
      <c r="N10" s="325"/>
      <c r="O10" s="325"/>
      <c r="P10" s="325"/>
      <c r="Q10" s="325"/>
      <c r="R10" s="36"/>
      <c r="W10" s="325"/>
      <c r="X10" s="325"/>
      <c r="Y10" s="325"/>
      <c r="Z10" s="325"/>
    </row>
    <row r="11" ht="24.75" customHeight="1">
      <c r="A11" s="319"/>
      <c r="B11" s="326"/>
      <c r="C11" s="342" t="s">
        <v>238</v>
      </c>
      <c r="D11" s="343" t="s">
        <v>229</v>
      </c>
      <c r="E11" s="339">
        <f>IF('GA55 Check &amp; Edit'!BB18="","",IF(D11="Y",'GA55 Check &amp; Edit'!BA18+'GA55 Check &amp; Edit'!BC18,0))</f>
        <v>60605</v>
      </c>
      <c r="F11" s="340">
        <f>IF(E11="","",IF(D11="Y",ROUND('Master Data'!$E$35%*'GA55 Check &amp; Edit'!BA18,0),"0"))</f>
        <v>3910</v>
      </c>
      <c r="G11" s="341"/>
      <c r="I11" s="350" t="str">
        <f>IF(OR(LEN(FLOOR(J10,1))=13,FLOOR(J10,1)&lt;=0),"NIL",PROPER(SUBSTITUTE(CONCATENATE(CHOOSE(MID(TEXT(INT(J10),REPT(0,12)),1,1)+1,"","one hundred ","two hundred ","three hundred ","four hundred ","five hundred ","six hundred ","seven hundred ","eight hundred ","nine hundred "),CHOOSE(MID(TEXT(INT(J10),REPT(0,12)),2,1)+1,"",CHOOSE(MID(TEXT(INT(J10),REPT(0,12)),3,1)+1,"ten","eleven","twelve","thirteen","fourteen","fifteen","sixteen","seventeen","eighteen","nineteen"),"twenty","thirty","forty","fifty","sixty","seventy","eighty","ninety"),IF(VALUE(MID(TEXT(INT(J10),REPT(0,12)),2,1))&gt;1,CHOOSE(MID(TEXT(INT(J10),REPT(0,12)),3,1)+1,"","-one","-two","-three","-four","-five","-six","-seven","-eight","-nine"),IF(VALUE(MID(TEXT(INT(J10),REPT(0,12)),2,1))=0,CHOOSE(MID(TEXT(INT(J10),REPT(0,12)),3,1)+1,"","one","two","three","four","five","six","seven","eight","nine"),"")),IF(J10&gt;=10^9," billion ",""),CHOOSE(MID(TEXT(INT(J10),REPT(0,12)),4,1)+1,"","one hundred ","two hundred ","three hundred ","four hundred ","five hundred ","six hundred ","seven hundred ","eight hundred ","nine hundred "),CHOOSE(MID(TEXT(INT(J10),REPT(0,12)),5,1)+1,"",CHOOSE(MID(TEXT(INT(J10),REPT(0,12)),6,1)+1,"ten","eleven","twelve","thirteen","fourteen","fifteen","sixteen","seventeen","eighteen","nineteen"),"twenty","thirty","forty","fifty","sixty","seventy","eighty","ninety"),IF(VALUE(MID(TEXT(INT(J10),REPT(0,12)),5,1))&gt;1,CHOOSE(MID(TEXT(INT(J10),REPT(0,12)),6,1)+1,"","-one","-two","-three","-four","-five","-six","-seven","-eight","-nine"),IF(VALUE(MID(TEXT(INT(J10),REPT(0,12)),5,1))=0,CHOOSE(MID(TEXT(INT(J10),REPT(0,12)),6,1)+1,"","one","two","three","four","five","six","seven","eight","nine"),"")),IF(VALUE(MID(TEXT(INT(J10),REPT(0,12)),4,3))&gt;0," million ",""),CHOOSE(MID(TEXT(INT(J10),REPT(0,12)),7,1)+1,"","one hundred ","two hundred ","three hundred ","four hundred ","five hundred ","six hundred ","seven hundred ","eight hundred ","nine hundred "),CHOOSE(MID(TEXT(INT(J10),REPT(0,12)),8,1)+1,"",CHOOSE(MID(TEXT(INT(J10),REPT(0,12)),9,1)+1,"ten","eleven","twelve","thirteen","fourteen","fifteen","sixteen","seventeen","eighteen","nineteen"),"twenty","thirty","forty","fifty","sixty","seventy","eighty","ninety"),IF(VALUE(MID(TEXT(INT(J10),REPT(0,12)),8,1))&gt;1,CHOOSE(MID(TEXT(INT(J10),REPT(0,12)),9,1)+1,"","-one","-two","-three","-four","-five","-six","-seven","-eight","-nine"),IF(VALUE(MID(TEXT(INT(J10),REPT(0,12)),8,1))=0,CHOOSE(MID(TEXT(INT(J10),REPT(0,12)),9,1)+1,"","one","two","three","four","five","six","seven","eight","nine"),"")),IF(VALUE(MID(TEXT(INT(J10),REPT(0,12)),7,3))," thousand ",""),CHOOSE(MID(TEXT(INT(J10),REPT(0,12)),10,1)+1,"","one hundred ","two hundred ","three hundred ","four hundred ","five hundred ","six hundred ","seven hundred ","eight hundred ","nine hundred "),CHOOSE(MID(TEXT(INT(J10),REPT(0,12)),11,1)+1,"",CHOOSE(MID(TEXT(INT(J10),REPT(0,12)),12,1)+1,"ten","eleven","twelve","thirteen","fourteen","fifteen","sixteen","seventeen","eighteen","nineteen"),"twenty","thirty","forty","fifty","sixty","seventy","eighty","ninety"),IF(VALUE(MID(TEXT(INT(J10),REPT(0,12)),11,1))&gt;1,CHOOSE(MID(TEXT(INT(J10),REPT(0,12)),12,1)+1,"","-one","-two","-three","-four","-five","-six","-seven","-eight","-nine"),IF(VALUE(MID(TEXT(INT(J10),REPT(0,12)),11,1))=0,CHOOSE(MID(TEXT(INT(J10),REPT(0,12)),12,1)+1,"","one","two","three","four","five","six","seven","eight","nine"),""))),"  "," ")&amp;IF(FLOOR(J10,1)&gt;1," Rupees"," Rupees"))&amp;IF(ISERROR(FIND(".",J10,1)),""," and "&amp;PROPER(IF(LEN(LEFT(TRIM(MID(SUBSTITUTE(J10,".",REPT(" ",255)),255,200)),2))=1,CHOOSE(1*LEFT(TRIM(MID(SUBSTITUTE(J10,".",REPT(" ",255)),255,200)),2),"ten","twenty","thirty","forty","fifty","sixty","seventy","eighty","ninety")&amp;" Paise","")&amp;CONCATENATE(CHOOSE(MID(TEXT(INT(LEFT(TRIM(MID(SUBSTITUTE(J10,".",REPT(" ",255)),255,200)),2)),REPT(0,12)),11,1)+1,"",CHOOSE(MID(TEXT(INT(LEFT(TRIM(MID(SUBSTITUTE(J10,".",REPT(" ",255)),255,200)),2)),REPT(0,12)),12,1)+1,"ten","eleven","twelve","thirteen","fourteen","fifteen","sixteen","seventeen","eighteen","nineteen"),"twenty","thirty","forty","fifty","sixty","seventy","eighty","ninety"),IF(VALUE(MID(TEXT(INT(LEFT(TRIM(MID(SUBSTITUTE(J10,".",REPT(" ",255)),255,200)),2)),REPT(0,12)),11,1))&gt;1,CHOOSE(MID(TEXT(INT(LEFT(TRIM(MID(SUBSTITUTE(J10,".",REPT(" ",255)),255,200)),2)),REPT(0,12)),12,1)+1,"","-one","-two","-three","-four","-five","-six","-seven","-eight","-nine")&amp;" Paise",IF(LEFT(TRIM(MID(SUBSTITUTE(J10,".",REPT(" ",255)),255,200)),2)="01","one Paise",IF(LEFT(TRIM(MID(SUBSTITUTE(J10,".",REPT(" ",255)),255,200)),1)="0",CHOOSE(MID(TEXT(INT(LEFT(TRIM(MID(SUBSTITUTE(J10,".",REPT(" ",255)),255,200)),2)),REPT(0,12)),12,1)+1,"","one","two","three","four","five","six","seven","eight","nine")&amp;" Paise","")))))))</f>
        <v>#ERROR!</v>
      </c>
      <c r="J11" s="69"/>
      <c r="K11" s="345"/>
      <c r="L11" s="331"/>
      <c r="M11" s="319"/>
      <c r="N11" s="325"/>
      <c r="O11" s="325"/>
      <c r="P11" s="325"/>
      <c r="Q11" s="325"/>
      <c r="R11" s="36"/>
      <c r="W11" s="325"/>
      <c r="X11" s="325"/>
      <c r="Y11" s="325"/>
      <c r="Z11" s="325"/>
    </row>
    <row r="12" ht="24.75" customHeight="1">
      <c r="A12" s="319"/>
      <c r="B12" s="326"/>
      <c r="C12" s="342" t="s">
        <v>239</v>
      </c>
      <c r="D12" s="343" t="s">
        <v>229</v>
      </c>
      <c r="E12" s="339">
        <f>IF('GA55 Check &amp; Edit'!BB19="","",IF(D12="Y",'GA55 Check &amp; Edit'!BA19+'GA55 Check &amp; Edit'!BC19,0))</f>
        <v>61778</v>
      </c>
      <c r="F12" s="340">
        <f>IF(E12="","",IF(D12="Y",ROUND('Master Data'!$E$35%*'GA55 Check &amp; Edit'!BA19,0),"0"))</f>
        <v>3910</v>
      </c>
      <c r="G12" s="341"/>
      <c r="I12" s="319"/>
      <c r="J12" s="319"/>
      <c r="K12" s="345"/>
      <c r="L12" s="331"/>
      <c r="M12" s="319"/>
      <c r="N12" s="325"/>
      <c r="O12" s="325"/>
      <c r="P12" s="325"/>
      <c r="Q12" s="325"/>
      <c r="R12" s="325"/>
      <c r="S12" s="325"/>
      <c r="T12" s="325"/>
      <c r="U12" s="325"/>
      <c r="V12" s="325"/>
      <c r="W12" s="325"/>
      <c r="X12" s="325"/>
      <c r="Y12" s="325"/>
      <c r="Z12" s="325"/>
    </row>
    <row r="13" ht="24.75" customHeight="1">
      <c r="A13" s="319"/>
      <c r="B13" s="326"/>
      <c r="C13" s="342" t="s">
        <v>240</v>
      </c>
      <c r="D13" s="343" t="s">
        <v>229</v>
      </c>
      <c r="E13" s="339">
        <f>IF('GA55 Check &amp; Edit'!BB20="","",IF(D13="Y",'GA55 Check &amp; Edit'!BA20+'GA55 Check &amp; Edit'!BC20,0))</f>
        <v>61778</v>
      </c>
      <c r="F13" s="340">
        <f>IF(E13="","",IF(D13="Y",ROUND('Master Data'!$E$35%*'GA55 Check &amp; Edit'!BA20,0),"0"))</f>
        <v>3910</v>
      </c>
      <c r="G13" s="341"/>
      <c r="I13" s="351" t="s">
        <v>241</v>
      </c>
      <c r="J13" s="352">
        <f>F19</f>
        <v>48880</v>
      </c>
      <c r="K13" s="345"/>
      <c r="L13" s="331"/>
      <c r="M13" s="319"/>
      <c r="N13" s="325"/>
      <c r="O13" s="325"/>
      <c r="P13" s="325"/>
      <c r="Q13" s="325"/>
      <c r="R13" s="353"/>
      <c r="S13" s="353"/>
      <c r="T13" s="353"/>
      <c r="U13" s="353"/>
      <c r="V13" s="325"/>
      <c r="W13" s="325"/>
      <c r="X13" s="325"/>
      <c r="Y13" s="325"/>
      <c r="Z13" s="325"/>
    </row>
    <row r="14" ht="24.75" customHeight="1">
      <c r="A14" s="319"/>
      <c r="B14" s="326"/>
      <c r="C14" s="342" t="s">
        <v>242</v>
      </c>
      <c r="D14" s="343" t="s">
        <v>229</v>
      </c>
      <c r="E14" s="339">
        <f>IF('GA55 Check &amp; Edit'!BB21="","",IF(D14="Y",'GA55 Check &amp; Edit'!BA21+'GA55 Check &amp; Edit'!BC21,0))</f>
        <v>61778</v>
      </c>
      <c r="F14" s="340">
        <f>IF(E14="","",IF(D14="Y",ROUND('Master Data'!$E$35%*'GA55 Check &amp; Edit'!BA21,0),"0"))</f>
        <v>3910</v>
      </c>
      <c r="G14" s="341"/>
      <c r="I14" s="354" t="s">
        <v>243</v>
      </c>
      <c r="J14" s="355" t="str">
        <f>ROUND(((10%*E19)+F19),0)</f>
        <v>#ERROR!</v>
      </c>
      <c r="K14" s="345"/>
      <c r="L14" s="331"/>
      <c r="M14" s="319"/>
      <c r="N14" s="325"/>
      <c r="O14" s="325"/>
      <c r="P14" s="325"/>
      <c r="Q14" s="325"/>
      <c r="R14" s="353"/>
      <c r="S14" s="353"/>
      <c r="T14" s="353"/>
      <c r="U14" s="353"/>
      <c r="V14" s="325"/>
      <c r="W14" s="325"/>
      <c r="X14" s="325"/>
      <c r="Y14" s="325"/>
      <c r="Z14" s="325"/>
    </row>
    <row r="15" ht="24.75" customHeight="1">
      <c r="A15" s="319"/>
      <c r="B15" s="326"/>
      <c r="C15" s="342" t="s">
        <v>244</v>
      </c>
      <c r="D15" s="343" t="s">
        <v>229</v>
      </c>
      <c r="E15" s="339">
        <f>IF('GA55 Check &amp; Edit'!BB22="","",IF(D15="Y",'GA55 Check &amp; Edit'!BA22+'GA55 Check &amp; Edit'!BC22,0))</f>
        <v>61778</v>
      </c>
      <c r="F15" s="340">
        <f>IF(E15="","",IF(D15="Y",ROUND('Master Data'!$E$35%*'GA55 Check &amp; Edit'!BA22,0),"0"))</f>
        <v>3910</v>
      </c>
      <c r="G15" s="341"/>
      <c r="I15" s="356"/>
      <c r="J15" s="356"/>
      <c r="K15" s="357"/>
      <c r="L15" s="331"/>
      <c r="M15" s="319"/>
      <c r="N15" s="325"/>
      <c r="O15" s="325"/>
      <c r="P15" s="325"/>
      <c r="Q15" s="325"/>
      <c r="R15" s="1"/>
      <c r="S15" s="1"/>
      <c r="T15" s="1"/>
      <c r="U15" s="1"/>
      <c r="V15" s="325"/>
      <c r="W15" s="325"/>
      <c r="X15" s="325"/>
      <c r="Y15" s="325"/>
      <c r="Z15" s="325"/>
    </row>
    <row r="16" ht="24.75" customHeight="1">
      <c r="A16" s="319"/>
      <c r="B16" s="326"/>
      <c r="C16" s="358" t="s">
        <v>245</v>
      </c>
      <c r="D16" s="359" t="s">
        <v>229</v>
      </c>
      <c r="E16" s="339">
        <f>IF('GA55 Check &amp; Edit'!BB23="","",IF(D16="Y",'GA55 Check &amp; Edit'!BA23+'GA55 Check &amp; Edit'!BC23,0))</f>
        <v>61778</v>
      </c>
      <c r="F16" s="340">
        <f>IF(E16="","",IF(D16="Y",ROUND('Master Data'!$E$35%*'GA55 Check &amp; Edit'!BA23,0),"0"))</f>
        <v>3910</v>
      </c>
      <c r="G16" s="341"/>
      <c r="I16" s="354" t="s">
        <v>246</v>
      </c>
      <c r="J16" s="360" t="str">
        <f>ROUND(J14/D17,0)</f>
        <v>#ERROR!</v>
      </c>
      <c r="K16" s="357"/>
      <c r="L16" s="331"/>
      <c r="M16" s="319"/>
      <c r="N16" s="325"/>
      <c r="O16" s="325"/>
      <c r="P16" s="325"/>
      <c r="Q16" s="325" t="s">
        <v>247</v>
      </c>
      <c r="R16" s="361"/>
      <c r="S16" s="361"/>
      <c r="T16" s="361"/>
      <c r="U16" s="361"/>
      <c r="V16" s="325"/>
      <c r="W16" s="325"/>
      <c r="X16" s="325"/>
      <c r="Y16" s="325"/>
      <c r="Z16" s="325"/>
    </row>
    <row r="17" ht="24.75" customHeight="1">
      <c r="A17" s="319"/>
      <c r="B17" s="326"/>
      <c r="C17" s="342" t="s">
        <v>40</v>
      </c>
      <c r="D17" s="362">
        <f>COUNTIF(D5:D16,"Y")</f>
        <v>12</v>
      </c>
      <c r="E17" s="339">
        <f t="shared" ref="E17:F17" si="1">SUM(E5:E16)</f>
        <v>725545</v>
      </c>
      <c r="F17" s="339">
        <f t="shared" si="1"/>
        <v>46480</v>
      </c>
      <c r="G17" s="319"/>
      <c r="I17" s="319"/>
      <c r="J17" s="319"/>
      <c r="K17" s="345"/>
      <c r="L17" s="331"/>
      <c r="M17" s="319"/>
      <c r="N17" s="325"/>
      <c r="O17" s="325"/>
      <c r="P17" s="325"/>
      <c r="Q17" s="325" t="s">
        <v>248</v>
      </c>
      <c r="R17" s="361"/>
      <c r="S17" s="361"/>
      <c r="T17" s="361"/>
      <c r="U17" s="361"/>
      <c r="V17" s="325"/>
      <c r="W17" s="325"/>
      <c r="X17" s="325"/>
      <c r="Y17" s="325"/>
      <c r="Z17" s="325"/>
    </row>
    <row r="18" ht="32.25" customHeight="1">
      <c r="A18" s="319"/>
      <c r="B18" s="326"/>
      <c r="C18" s="363" t="s">
        <v>249</v>
      </c>
      <c r="D18" s="364"/>
      <c r="E18" s="339" t="str">
        <f>'GA55 Only Print'!C27+'GA55 Only Print'!D27-E17</f>
        <v>#ERROR!</v>
      </c>
      <c r="F18" s="339">
        <f>'GA55 Only Print'!E27-F17</f>
        <v>2400</v>
      </c>
      <c r="G18" s="365"/>
      <c r="I18" s="351" t="s">
        <v>250</v>
      </c>
      <c r="J18" s="366" t="s">
        <v>251</v>
      </c>
      <c r="K18" s="367"/>
      <c r="L18" s="331"/>
      <c r="M18" s="319"/>
      <c r="N18" s="325"/>
      <c r="O18" s="325"/>
      <c r="P18" s="325"/>
      <c r="Q18" s="325" t="s">
        <v>252</v>
      </c>
      <c r="R18" s="361"/>
      <c r="S18" s="361"/>
      <c r="T18" s="361"/>
      <c r="U18" s="361"/>
      <c r="V18" s="325"/>
      <c r="W18" s="325"/>
      <c r="X18" s="325"/>
      <c r="Y18" s="325"/>
      <c r="Z18" s="325"/>
    </row>
    <row r="19" ht="24.75" customHeight="1">
      <c r="A19" s="319"/>
      <c r="B19" s="326"/>
      <c r="C19" s="368" t="s">
        <v>40</v>
      </c>
      <c r="D19" s="69"/>
      <c r="E19" s="369" t="str">
        <f t="shared" ref="E19:F19" si="2">E17+E18</f>
        <v>#ERROR!</v>
      </c>
      <c r="F19" s="370">
        <f t="shared" si="2"/>
        <v>48880</v>
      </c>
      <c r="G19" s="365"/>
      <c r="I19" s="351" t="str">
        <f>IF(J18="","",IF(J18=Q16,"First select city in above unlock cell",IF(J18="Other cities","40 % Salary + DA","50 % Salary + DA")))</f>
        <v>40 % Salary + DA</v>
      </c>
      <c r="J19" s="371" t="str">
        <f>IF(J18="","",IF(J18=Q16,"------",IF(J18="Other cities",ROUND(40%*E19,0),ROUND(50%*E19,0))))</f>
        <v>#ERROR!</v>
      </c>
      <c r="K19" s="345"/>
      <c r="L19" s="331"/>
      <c r="M19" s="319"/>
      <c r="N19" s="325"/>
      <c r="O19" s="325"/>
      <c r="P19" s="325"/>
      <c r="Q19" s="325" t="s">
        <v>253</v>
      </c>
      <c r="R19" s="361"/>
      <c r="S19" s="361"/>
      <c r="T19" s="361"/>
      <c r="U19" s="361"/>
      <c r="V19" s="325"/>
      <c r="W19" s="325"/>
      <c r="X19" s="325"/>
      <c r="Y19" s="325"/>
      <c r="Z19" s="325"/>
    </row>
    <row r="20" ht="18.0" customHeight="1">
      <c r="A20" s="319"/>
      <c r="B20" s="326"/>
      <c r="C20" s="372"/>
      <c r="D20" s="373"/>
      <c r="E20" s="373"/>
      <c r="F20" s="373"/>
      <c r="G20" s="373"/>
      <c r="H20" s="374"/>
      <c r="I20" s="373"/>
      <c r="J20" s="373"/>
      <c r="K20" s="375"/>
      <c r="L20" s="331"/>
      <c r="M20" s="319"/>
      <c r="N20" s="325"/>
      <c r="O20" s="325"/>
      <c r="P20" s="325"/>
      <c r="Q20" s="325" t="s">
        <v>254</v>
      </c>
      <c r="R20" s="361"/>
      <c r="S20" s="361"/>
      <c r="T20" s="361"/>
      <c r="U20" s="361"/>
      <c r="V20" s="325"/>
      <c r="W20" s="325"/>
      <c r="X20" s="325"/>
      <c r="Y20" s="325"/>
      <c r="Z20" s="325"/>
    </row>
    <row r="21" ht="23.25" customHeight="1">
      <c r="A21" s="319"/>
      <c r="B21" s="376"/>
      <c r="C21" s="377"/>
      <c r="D21" s="374"/>
      <c r="E21" s="374"/>
      <c r="F21" s="374"/>
      <c r="G21" s="374"/>
      <c r="H21" s="374"/>
      <c r="I21" s="374"/>
      <c r="J21" s="374"/>
      <c r="K21" s="374"/>
      <c r="L21" s="378"/>
      <c r="M21" s="319"/>
      <c r="N21" s="325"/>
      <c r="O21" s="325"/>
      <c r="P21" s="325"/>
      <c r="Q21" s="325" t="s">
        <v>251</v>
      </c>
      <c r="R21" s="361"/>
      <c r="S21" s="361"/>
      <c r="T21" s="361"/>
      <c r="U21" s="361"/>
      <c r="V21" s="325"/>
      <c r="W21" s="325"/>
      <c r="X21" s="325"/>
      <c r="Y21" s="325"/>
      <c r="Z21" s="325"/>
    </row>
    <row r="22" ht="42.0" customHeight="1">
      <c r="A22" s="319"/>
      <c r="B22" s="319"/>
      <c r="C22" s="379"/>
      <c r="D22" s="379"/>
      <c r="E22" s="380" t="s">
        <v>255</v>
      </c>
      <c r="F22" s="381"/>
      <c r="G22" s="381"/>
      <c r="H22" s="381"/>
      <c r="I22" s="382"/>
      <c r="J22" s="319"/>
      <c r="K22" s="319"/>
      <c r="L22" s="319"/>
      <c r="M22" s="319"/>
      <c r="N22" s="325"/>
      <c r="O22" s="325"/>
      <c r="P22" s="325"/>
      <c r="Q22" s="325"/>
      <c r="R22" s="361"/>
      <c r="S22" s="361"/>
      <c r="T22" s="361"/>
      <c r="U22" s="361"/>
      <c r="V22" s="325"/>
      <c r="W22" s="325"/>
      <c r="X22" s="325"/>
      <c r="Y22" s="325"/>
      <c r="Z22" s="325"/>
    </row>
    <row r="23" ht="15.75" hidden="1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61"/>
      <c r="S23" s="361"/>
      <c r="T23" s="361"/>
      <c r="U23" s="361"/>
      <c r="V23" s="1"/>
      <c r="W23" s="1"/>
      <c r="X23" s="1"/>
      <c r="Y23" s="1"/>
      <c r="Z23" s="1"/>
    </row>
    <row r="24" ht="15.75" hidden="1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61"/>
      <c r="S24" s="361"/>
      <c r="T24" s="383"/>
      <c r="U24" s="361"/>
      <c r="V24" s="1"/>
      <c r="W24" s="1"/>
      <c r="X24" s="1"/>
      <c r="Y24" s="1"/>
      <c r="Z24" s="1"/>
    </row>
    <row r="25" ht="15.75" hidden="1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361"/>
      <c r="S25" s="361"/>
      <c r="T25" s="361"/>
      <c r="U25" s="361"/>
      <c r="V25" s="1"/>
      <c r="W25" s="1"/>
      <c r="X25" s="1"/>
      <c r="Y25" s="1"/>
      <c r="Z25" s="1"/>
    </row>
    <row r="26" ht="15.75" hidden="1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61"/>
      <c r="S26" s="361"/>
      <c r="T26" s="361"/>
      <c r="U26" s="361"/>
      <c r="V26" s="1"/>
      <c r="W26" s="1"/>
      <c r="X26" s="1"/>
      <c r="Y26" s="1"/>
      <c r="Z26" s="1"/>
    </row>
    <row r="27" ht="15.75" hidden="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61"/>
      <c r="S27" s="361"/>
      <c r="T27" s="361"/>
      <c r="U27" s="361"/>
      <c r="V27" s="1"/>
      <c r="W27" s="1"/>
      <c r="X27" s="1"/>
      <c r="Y27" s="1"/>
      <c r="Z27" s="1"/>
    </row>
    <row r="28" ht="15.75" hidden="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84"/>
      <c r="S28" s="361"/>
      <c r="T28" s="384"/>
      <c r="U28" s="361"/>
      <c r="V28" s="1"/>
      <c r="W28" s="1"/>
      <c r="X28" s="1"/>
      <c r="Y28" s="1"/>
      <c r="Z28" s="1"/>
    </row>
    <row r="29" ht="15.75" hidden="1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61"/>
      <c r="S29" s="361"/>
      <c r="T29" s="361"/>
      <c r="U29" s="361"/>
      <c r="V29" s="1"/>
      <c r="W29" s="1"/>
      <c r="X29" s="1"/>
      <c r="Y29" s="1"/>
      <c r="Z29" s="1"/>
    </row>
    <row r="30" ht="15.75" hidden="1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61"/>
      <c r="S30" s="361"/>
      <c r="T30" s="361"/>
      <c r="U30" s="361"/>
      <c r="V30" s="1"/>
      <c r="W30" s="1"/>
      <c r="X30" s="1"/>
      <c r="Y30" s="1"/>
      <c r="Z30" s="1"/>
    </row>
    <row r="31" ht="15.75" hidden="1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61"/>
      <c r="S31" s="361"/>
      <c r="T31" s="361"/>
      <c r="U31" s="361"/>
      <c r="V31" s="1"/>
      <c r="W31" s="1"/>
      <c r="X31" s="1"/>
      <c r="Y31" s="1"/>
      <c r="Z31" s="1"/>
    </row>
    <row r="32" ht="15.75" hidden="1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61"/>
      <c r="S32" s="361"/>
      <c r="T32" s="361"/>
      <c r="U32" s="1"/>
      <c r="V32" s="1"/>
      <c r="W32" s="1"/>
      <c r="X32" s="1"/>
      <c r="Y32" s="1"/>
      <c r="Z32" s="1"/>
    </row>
    <row r="33" ht="15.75" hidden="1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hidden="1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hidden="1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R10:V10"/>
    <mergeCell ref="R11:V11"/>
    <mergeCell ref="C18:D18"/>
    <mergeCell ref="C19:D19"/>
    <mergeCell ref="C21:K21"/>
    <mergeCell ref="E22:I22"/>
    <mergeCell ref="B2:B21"/>
    <mergeCell ref="C2:K2"/>
    <mergeCell ref="L2:L21"/>
    <mergeCell ref="H3:H20"/>
    <mergeCell ref="I4:K5"/>
    <mergeCell ref="I6:K7"/>
    <mergeCell ref="I11:J11"/>
  </mergeCells>
  <dataValidations>
    <dataValidation type="custom" allowBlank="1" showInputMessage="1" showErrorMessage="1" prompt="write in Digit - Please Input Data only in Number" sqref="J9">
      <formula1>ISNUMBER(J9)=TRUE</formula1>
    </dataValidation>
    <dataValidation type="list" allowBlank="1" showErrorMessage="1" sqref="D5:D16">
      <formula1>"Y,N"</formula1>
    </dataValidation>
    <dataValidation type="list" allowBlank="1" showErrorMessage="1" sqref="J18">
      <formula1>$Q$16:$Q$21</formula1>
    </dataValidation>
    <dataValidation type="decimal" allowBlank="1" showErrorMessage="1" sqref="T26">
      <formula1>1.0</formula1>
      <formula2>12.0</formula2>
    </dataValidation>
    <dataValidation type="list" allowBlank="1" showErrorMessage="1" sqref="T24">
      <formula1>cities</formula1>
    </dataValidation>
  </dataValidations>
  <printOptions/>
  <pageMargins bottom="0.75" footer="0.0" header="0.0" left="0.7" right="0.7" top="0.75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0"/>
    <col customWidth="1" min="2" max="2" width="12.14"/>
    <col customWidth="1" min="3" max="3" width="7.71"/>
    <col customWidth="1" min="4" max="4" width="6.57"/>
    <col customWidth="1" min="5" max="5" width="5.57"/>
    <col customWidth="1" min="6" max="6" width="5.71"/>
    <col customWidth="1" min="7" max="7" width="5.43"/>
    <col customWidth="1" min="8" max="8" width="5.29"/>
    <col customWidth="1" min="9" max="9" width="6.29"/>
    <col customWidth="1" min="10" max="10" width="6.43"/>
    <col customWidth="1" min="11" max="12" width="5.86"/>
    <col customWidth="1" min="13" max="13" width="7.57"/>
    <col customWidth="1" min="14" max="14" width="5.29"/>
    <col customWidth="1" min="15" max="15" width="5.43"/>
    <col customWidth="1" min="16" max="16" width="5.29"/>
    <col customWidth="1" min="17" max="17" width="5.57"/>
    <col customWidth="1" min="18" max="18" width="5.71"/>
    <col customWidth="1" min="19" max="20" width="5.29"/>
    <col customWidth="1" min="21" max="21" width="5.43"/>
    <col customWidth="1" min="22" max="22" width="5.57"/>
    <col customWidth="1" min="23" max="25" width="5.71"/>
    <col customWidth="1" min="26" max="26" width="7.71"/>
    <col customWidth="1" min="27" max="27" width="8.0"/>
    <col customWidth="1" min="28" max="28" width="7.14"/>
    <col customWidth="1" min="29" max="29" width="8.29"/>
    <col customWidth="1" min="30" max="32" width="9.14"/>
    <col customWidth="1" min="33" max="33" width="22.57"/>
    <col customWidth="1" min="34" max="34" width="9.14"/>
  </cols>
  <sheetData>
    <row r="1" ht="27.75" customHeight="1">
      <c r="A1" s="385"/>
      <c r="B1" s="386" t="str">
        <f>IF(AND('Master Data'!D4=""),"",CONCATENATE("Office Name :- ",PROPER('Master Data'!D4)))</f>
        <v>Office Name :- Gsss Dhalop </v>
      </c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  <c r="Z1" s="387"/>
      <c r="AA1" s="388"/>
      <c r="AB1" s="387"/>
      <c r="AC1" s="389"/>
      <c r="AD1" s="1"/>
      <c r="AE1" s="1"/>
      <c r="AF1" s="1"/>
      <c r="AG1" s="36"/>
      <c r="AH1" s="1"/>
    </row>
    <row r="2" ht="25.5" customHeight="1">
      <c r="A2" s="390" t="s">
        <v>26</v>
      </c>
      <c r="D2" s="391" t="str">
        <f>UPPER(IF('Master Data'!D6="","",'Master Data'!D6))</f>
        <v>MANJU KUMARI </v>
      </c>
      <c r="I2" s="392" t="s">
        <v>112</v>
      </c>
      <c r="M2" s="393" t="str">
        <f>UPPER(IF('Master Data'!H6="","",'Master Data'!H6))</f>
        <v>TEACHER </v>
      </c>
      <c r="Q2" s="394" t="s">
        <v>256</v>
      </c>
      <c r="U2" s="393" t="str">
        <f>UPPER(IF('Master Data'!D8="","",'Master Data'!D8))</f>
        <v>GUPS VIRAMPURA MATAJI </v>
      </c>
      <c r="AB2" s="395" t="s">
        <v>257</v>
      </c>
      <c r="AC2" s="396"/>
      <c r="AD2" s="353"/>
      <c r="AE2" s="353"/>
      <c r="AF2" s="353"/>
      <c r="AG2" s="397"/>
      <c r="AH2" s="353"/>
    </row>
    <row r="3" ht="23.25" customHeight="1">
      <c r="A3" s="398" t="s">
        <v>258</v>
      </c>
      <c r="B3" s="313"/>
      <c r="C3" s="399" t="str">
        <f>UPPER(IF('Master Data'!D12="","",'Master Data'!D12))</f>
        <v>
HXLPK3160E</v>
      </c>
      <c r="D3" s="313"/>
      <c r="E3" s="313"/>
      <c r="F3" s="400" t="s">
        <v>259</v>
      </c>
      <c r="G3" s="399">
        <f>IF(AND('Master Data'!H14=""),"",'Master Data'!H14)</f>
        <v>1486759</v>
      </c>
      <c r="H3" s="313"/>
      <c r="I3" s="313"/>
      <c r="J3" s="392" t="s">
        <v>28</v>
      </c>
      <c r="K3" s="401">
        <f>IF(AND('Master Data'!D14=""),"",'Master Data'!D14)</f>
        <v>113422</v>
      </c>
      <c r="L3" s="313"/>
      <c r="M3" s="313"/>
      <c r="N3" s="313"/>
      <c r="O3" s="402" t="s">
        <v>260</v>
      </c>
      <c r="P3" s="313"/>
      <c r="Q3" s="313"/>
      <c r="R3" s="401" t="str">
        <f>IF(AND('Master Data'!D16=""),"",'Master Data'!D16)</f>
        <v/>
      </c>
      <c r="S3" s="313"/>
      <c r="T3" s="313"/>
      <c r="U3" s="313"/>
      <c r="V3" s="313"/>
      <c r="W3" s="392" t="s">
        <v>261</v>
      </c>
      <c r="AA3" s="403">
        <f>IF(AND('Master Data'!H16=""),"",'Master Data'!H16)</f>
        <v>61164354573</v>
      </c>
      <c r="AB3" s="313"/>
      <c r="AC3" s="404"/>
      <c r="AD3" s="353"/>
      <c r="AE3" s="353"/>
      <c r="AF3" s="353"/>
      <c r="AG3" s="397"/>
      <c r="AH3" s="353"/>
    </row>
    <row r="4" ht="21.75" customHeight="1">
      <c r="A4" s="405" t="s">
        <v>262</v>
      </c>
      <c r="B4" s="294"/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406" t="s">
        <v>263</v>
      </c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5"/>
      <c r="AA4" s="407" t="str">
        <f>'GA55 Check &amp; Edit'!AC6</f>
        <v>NET PAY</v>
      </c>
      <c r="AB4" s="408" t="str">
        <f>'GA55 Check &amp; Edit'!AD6</f>
        <v>TV.NO.</v>
      </c>
      <c r="AC4" s="409" t="str">
        <f>'GA55 Check &amp; Edit'!AE6</f>
        <v>Enc.  DATE</v>
      </c>
      <c r="AD4" s="410"/>
      <c r="AE4" s="410"/>
      <c r="AF4" s="410"/>
      <c r="AG4" s="411"/>
      <c r="AH4" s="410"/>
    </row>
    <row r="5" ht="47.25" customHeight="1">
      <c r="A5" s="412" t="str">
        <f>IF(AND('GA55 Check &amp; Edit'!C6=""),"",'GA55 Check &amp; Edit'!C6)</f>
        <v>S.N.</v>
      </c>
      <c r="B5" s="413" t="str">
        <f>IF(AND('GA55 Check &amp; Edit'!D6=""),"",'GA55 Check &amp; Edit'!D6)</f>
        <v>Month</v>
      </c>
      <c r="C5" s="413" t="str">
        <f>IF(AND('GA55 Check &amp; Edit'!E6=""),"",'GA55 Check &amp; Edit'!E6)</f>
        <v>Basic with Grade Pay</v>
      </c>
      <c r="D5" s="413" t="str">
        <f>IF(AND('GA55 Check &amp; Edit'!F6=""),"",'GA55 Check &amp; Edit'!F6)</f>
        <v>DA</v>
      </c>
      <c r="E5" s="413" t="str">
        <f>IF(AND('GA55 Check &amp; Edit'!G6=""),"",'GA55 Check &amp; Edit'!G6)</f>
        <v>HRA</v>
      </c>
      <c r="F5" s="413" t="str">
        <f>IF(AND('GA55 Check &amp; Edit'!H6=""),"",'GA55 Check &amp; Edit'!H6)</f>
        <v>Wash All.</v>
      </c>
      <c r="G5" s="413" t="str">
        <f>IF(AND('GA55 Check &amp; Edit'!I6=""),"",'GA55 Check &amp; Edit'!I6)</f>
        <v>Handi. All.</v>
      </c>
      <c r="H5" s="413" t="str">
        <f>IF(AND('GA55 Check &amp; Edit'!J6=""),"",'GA55 Check &amp; Edit'!J6)</f>
        <v>CCA</v>
      </c>
      <c r="I5" s="413" t="str">
        <f>IF(AND('GA55 Check &amp; Edit'!K6=""),"",'GA55 Check &amp; Edit'!K6)</f>
        <v>ROP</v>
      </c>
      <c r="J5" s="413" t="str">
        <f>IF(AND('GA55 Check &amp; Edit'!L6=""),"",'GA55 Check &amp; Edit'!L6)</f>
        <v>other-1</v>
      </c>
      <c r="K5" s="413" t="str">
        <f>IF(AND('GA55 Check &amp; Edit'!M6=""),"",'GA55 Check &amp; Edit'!M6)</f>
        <v>other-2</v>
      </c>
      <c r="L5" s="413" t="str">
        <f>IF(AND('GA55 Check &amp; Edit'!N6=""),"",'GA55 Check &amp; Edit'!N6)</f>
        <v>Bonus</v>
      </c>
      <c r="M5" s="413" t="str">
        <f>IF(AND('GA55 Check &amp; Edit'!O6=""),"",'GA55 Check &amp; Edit'!O6)</f>
        <v>TOTAL</v>
      </c>
      <c r="N5" s="413" t="str">
        <f>IF(AND('GA55 Check &amp; Edit'!P6=""),"",'GA55 Check &amp; Edit'!P6)</f>
        <v/>
      </c>
      <c r="O5" s="413" t="str">
        <f>IF(AND('GA55 Check &amp; Edit'!Q6=""),"",'GA55 Check &amp; Edit'!Q6)</f>
        <v>GPF-2004</v>
      </c>
      <c r="P5" s="413" t="str">
        <f>IF(AND('GA55 Check &amp; Edit'!R6=""),"",'GA55 Check &amp; Edit'!R6)</f>
        <v/>
      </c>
      <c r="Q5" s="413" t="str">
        <f>IF(AND('GA55 Check &amp; Edit'!S6=""),"",'GA55 Check &amp; Edit'!S6)</f>
        <v> RGHS</v>
      </c>
      <c r="R5" s="413" t="str">
        <f>IF(AND('GA55 Check &amp; Edit'!T6=""),"",'GA55 Check &amp; Edit'!T6)</f>
        <v>SI Loan</v>
      </c>
      <c r="S5" s="413" t="str">
        <f>IF(AND('GA55 Check &amp; Edit'!U6=""),"",'GA55 Check &amp; Edit'!U6)</f>
        <v>GPF Loan</v>
      </c>
      <c r="T5" s="413" t="str">
        <f>IF(AND('GA55 Check &amp; Edit'!V6=""),"",'GA55 Check &amp; Edit'!V6)</f>
        <v>SI Int.</v>
      </c>
      <c r="U5" s="413" t="str">
        <f>IF(AND('GA55 Check &amp; Edit'!W6=""),"",'GA55 Check &amp; Edit'!W6)</f>
        <v>Other</v>
      </c>
      <c r="V5" s="414" t="str">
        <f>IF(AND('GA55 Check &amp; Edit'!X6=""),"",'GA55 Check &amp; Edit'!X6)</f>
        <v>HITKARI NIDHI</v>
      </c>
      <c r="W5" s="413" t="str">
        <f>IF(AND('GA55 Check &amp; Edit'!Y6=""),"",'GA55 Check &amp; Edit'!Y6)</f>
        <v>Other </v>
      </c>
      <c r="X5" s="413" t="str">
        <f>IF(AND('GA55 Check &amp; Edit'!Z6=""),"",'GA55 Check &amp; Edit'!Z6)</f>
        <v>Income Tax</v>
      </c>
      <c r="Y5" s="413" t="str">
        <f>IF(AND('GA55 Check &amp; Edit'!AA6=""),"",'GA55 Check &amp; Edit'!AA6)</f>
        <v>G.I. + S. Tax</v>
      </c>
      <c r="Z5" s="413" t="str">
        <f>IF(AND('GA55 Check &amp; Edit'!AB6=""),"",'GA55 Check &amp; Edit'!AB6)</f>
        <v>Total Ded.</v>
      </c>
      <c r="AA5" s="311"/>
      <c r="AB5" s="311"/>
      <c r="AC5" s="415"/>
      <c r="AD5" s="416"/>
      <c r="AE5" s="416"/>
      <c r="AF5" s="416"/>
      <c r="AG5" s="417"/>
      <c r="AH5" s="416"/>
    </row>
    <row r="6" ht="21.75" customHeight="1">
      <c r="A6" s="418">
        <v>1.0</v>
      </c>
      <c r="B6" s="419">
        <f>IF(AND('GA55 Check &amp; Edit'!D8=""),"",'GA55 Check &amp; Edit'!D8)</f>
        <v>45717</v>
      </c>
      <c r="C6" s="420">
        <v>39100.0</v>
      </c>
      <c r="D6" s="421">
        <v>29095.0</v>
      </c>
      <c r="E6" s="421">
        <f>IF(AND('GA55 Check &amp; Edit'!G8=""),"",'GA55 Check &amp; Edit'!G8)</f>
        <v>3800</v>
      </c>
      <c r="F6" s="421" t="str">
        <f>IF(AND('GA55 Check &amp; Edit'!H8=""),"",'GA55 Check &amp; Edit'!H8)</f>
        <v/>
      </c>
      <c r="G6" s="421" t="str">
        <f>IF(AND('GA55 Check &amp; Edit'!I8=""),"",'GA55 Check &amp; Edit'!I8)</f>
        <v>0</v>
      </c>
      <c r="H6" s="421" t="str">
        <f>IF(AND('GA55 Check &amp; Edit'!J8=""),"",'GA55 Check &amp; Edit'!J8)</f>
        <v/>
      </c>
      <c r="I6" s="421" t="str">
        <f>IF(AND('GA55 Check &amp; Edit'!K8=""),"",'GA55 Check &amp; Edit'!K8)</f>
        <v/>
      </c>
      <c r="J6" s="421">
        <v>600.0</v>
      </c>
      <c r="K6" s="421" t="str">
        <f>IF(AND('GA55 Check &amp; Edit'!M8=""),"",'GA55 Check &amp; Edit'!M8)</f>
        <v/>
      </c>
      <c r="L6" s="421" t="str">
        <f>IF(AND('GA55 Check &amp; Edit'!N8=""),"",'GA55 Check &amp; Edit'!N8)</f>
        <v>0</v>
      </c>
      <c r="M6" s="421">
        <v>87285.0</v>
      </c>
      <c r="N6" s="421" t="str">
        <f>IF(AND('GA55 Check &amp; Edit'!P8=""),"",'GA55 Check &amp; Edit'!P8)</f>
        <v/>
      </c>
      <c r="O6" s="421"/>
      <c r="P6" s="421">
        <v>0.0</v>
      </c>
      <c r="Q6" s="421">
        <v>658.0</v>
      </c>
      <c r="R6" s="421">
        <v>0.0</v>
      </c>
      <c r="S6" s="421">
        <v>0.0</v>
      </c>
      <c r="T6" s="421" t="str">
        <f>IF(AND('GA55 Check &amp; Edit'!V8=""),"",'GA55 Check &amp; Edit'!V8)</f>
        <v/>
      </c>
      <c r="U6" s="421" t="str">
        <f>IF(AND('GA55 Check &amp; Edit'!W8=""),"",'GA55 Check &amp; Edit'!W8)</f>
        <v/>
      </c>
      <c r="V6" s="421" t="str">
        <f>IF(AND('GA55 Check &amp; Edit'!X8=""),"",'GA55 Check &amp; Edit'!X8)</f>
        <v/>
      </c>
      <c r="W6" s="421" t="str">
        <f>IF(AND('GA55 Check &amp; Edit'!Y8=""),"",'GA55 Check &amp; Edit'!Y8)</f>
        <v/>
      </c>
      <c r="X6" s="421">
        <v>0.0</v>
      </c>
      <c r="Y6" s="421" t="str">
        <f>IF(AND('GA55 Check &amp; Edit'!AA8=""),"",'GA55 Check &amp; Edit'!AA8)</f>
        <v/>
      </c>
      <c r="Z6" s="421">
        <v>658.0</v>
      </c>
      <c r="AA6" s="421">
        <v>51282.0</v>
      </c>
      <c r="AB6" s="421" t="str">
        <f>IF(AND('GA55 Check &amp; Edit'!AD8=""),"",'GA55 Check &amp; Edit'!AD8)</f>
        <v/>
      </c>
      <c r="AC6" s="422" t="str">
        <f>IF(AND('GA55 Check &amp; Edit'!AE8=""),"",'GA55 Check &amp; Edit'!AE8)</f>
        <v/>
      </c>
      <c r="AD6" s="1"/>
      <c r="AE6" s="1"/>
      <c r="AF6" s="1"/>
      <c r="AG6" s="36"/>
      <c r="AH6" s="1"/>
    </row>
    <row r="7" ht="21.75" customHeight="1">
      <c r="A7" s="418">
        <v>2.0</v>
      </c>
      <c r="B7" s="419">
        <f>IF(AND('GA55 Check &amp; Edit'!D9=""),"",'GA55 Check &amp; Edit'!D9)</f>
        <v>45748</v>
      </c>
      <c r="C7" s="421" t="str">
        <f>IF(AND('GA55 Check &amp; Edit'!E9=""),"",'GA55 Check &amp; Edit'!E9)</f>
        <v>#ERROR!</v>
      </c>
      <c r="D7" s="421">
        <f>IF(AND('GA55 Check &amp; Edit'!F9=""),"",'GA55 Check &amp; Edit'!F9)</f>
        <v>20900</v>
      </c>
      <c r="E7" s="421">
        <f>IF(AND('GA55 Check &amp; Edit'!G9=""),"",'GA55 Check &amp; Edit'!G9)</f>
        <v>3800</v>
      </c>
      <c r="F7" s="421" t="str">
        <f>IF(AND('GA55 Check &amp; Edit'!H9=""),"",'GA55 Check &amp; Edit'!H9)</f>
        <v/>
      </c>
      <c r="G7" s="421" t="str">
        <f>IF(AND('GA55 Check &amp; Edit'!I9=""),"",'GA55 Check &amp; Edit'!I9)</f>
        <v/>
      </c>
      <c r="H7" s="421" t="str">
        <f>IF(AND('GA55 Check &amp; Edit'!J9=""),"",'GA55 Check &amp; Edit'!J9)</f>
        <v/>
      </c>
      <c r="I7" s="421" t="str">
        <f>IF(AND('GA55 Check &amp; Edit'!K9=""),"",'GA55 Check &amp; Edit'!K9)</f>
        <v/>
      </c>
      <c r="J7" s="421" t="str">
        <f>IF(AND('GA55 Check &amp; Edit'!L9=""),"",'GA55 Check &amp; Edit'!L9)</f>
        <v/>
      </c>
      <c r="K7" s="421" t="str">
        <f>IF(AND('GA55 Check &amp; Edit'!M9=""),"",'GA55 Check &amp; Edit'!M9)</f>
        <v/>
      </c>
      <c r="L7" s="421" t="str">
        <f>IF(AND('GA55 Check &amp; Edit'!N9=""),"",'GA55 Check &amp; Edit'!N9)</f>
        <v>0</v>
      </c>
      <c r="M7" s="421" t="str">
        <f>IF(AND('GA55 Check &amp; Edit'!O9=""),"",'GA55 Check &amp; Edit'!O9)</f>
        <v>#ERROR!</v>
      </c>
      <c r="N7" s="421" t="str">
        <f>IF(AND('GA55 Check &amp; Edit'!P9=""),"",'GA55 Check &amp; Edit'!P9)</f>
        <v/>
      </c>
      <c r="O7" s="421"/>
      <c r="P7" s="421"/>
      <c r="Q7" s="421" t="str">
        <f>IF(AND('GA55 Check &amp; Edit'!S9=""),"",'GA55 Check &amp; Edit'!S9)</f>
        <v/>
      </c>
      <c r="R7" s="421" t="str">
        <f>IF(AND('GA55 Check &amp; Edit'!T9=""),"",'GA55 Check &amp; Edit'!T9)</f>
        <v/>
      </c>
      <c r="S7" s="421" t="str">
        <f>IF(AND('GA55 Check &amp; Edit'!U9=""),"",'GA55 Check &amp; Edit'!U9)</f>
        <v/>
      </c>
      <c r="T7" s="421" t="str">
        <f>IF(AND('GA55 Check &amp; Edit'!V9=""),"",'GA55 Check &amp; Edit'!V9)</f>
        <v/>
      </c>
      <c r="U7" s="421">
        <v>1400.0</v>
      </c>
      <c r="V7" s="421" t="str">
        <f>IF(AND('GA55 Check &amp; Edit'!X9=""),"",'GA55 Check &amp; Edit'!X9)</f>
        <v/>
      </c>
      <c r="W7" s="421" t="str">
        <f>IF(AND('GA55 Check &amp; Edit'!Y9=""),"",'GA55 Check &amp; Edit'!Y9)</f>
        <v/>
      </c>
      <c r="X7" s="421" t="str">
        <f>IF(AND('GA55 Check &amp; Edit'!Z9=""),"",'GA55 Check &amp; Edit'!Z9)</f>
        <v/>
      </c>
      <c r="Y7" s="421" t="str">
        <f>IF(AND('GA55 Check &amp; Edit'!AA9=""),"",'GA55 Check &amp; Edit'!AA9)</f>
        <v/>
      </c>
      <c r="Z7" s="421" t="str">
        <f>IF(AND('GA55 Check &amp; Edit'!AB9=""),"",'GA55 Check &amp; Edit'!AB9)</f>
        <v>0</v>
      </c>
      <c r="AA7" s="421">
        <v>49942.0</v>
      </c>
      <c r="AB7" s="421" t="str">
        <f>IF(AND('GA55 Check &amp; Edit'!AD9=""),"",'GA55 Check &amp; Edit'!AD9)</f>
        <v/>
      </c>
      <c r="AC7" s="422" t="str">
        <f>IF(AND('GA55 Check &amp; Edit'!AE9=""),"",'GA55 Check &amp; Edit'!AE9)</f>
        <v/>
      </c>
      <c r="AD7" s="1"/>
      <c r="AE7" s="1"/>
      <c r="AF7" s="1"/>
      <c r="AG7" s="36"/>
      <c r="AH7" s="1"/>
    </row>
    <row r="8" ht="21.75" customHeight="1">
      <c r="A8" s="418">
        <v>3.0</v>
      </c>
      <c r="B8" s="419">
        <f>IF(AND('GA55 Check &amp; Edit'!D10=""),"",'GA55 Check &amp; Edit'!D10)</f>
        <v>45778</v>
      </c>
      <c r="C8" s="421">
        <f>IF(AND('GA55 Check &amp; Edit'!E10=""),"",'GA55 Check &amp; Edit'!E10)</f>
        <v>47900</v>
      </c>
      <c r="D8" s="421">
        <f>IF(AND('GA55 Check &amp; Edit'!F10=""),"",'GA55 Check &amp; Edit'!F10)</f>
        <v>20900</v>
      </c>
      <c r="E8" s="421">
        <f>IF(AND('GA55 Check &amp; Edit'!G10=""),"",'GA55 Check &amp; Edit'!G10)</f>
        <v>3800</v>
      </c>
      <c r="F8" s="421" t="str">
        <f>IF(AND('GA55 Check &amp; Edit'!H10=""),"",'GA55 Check &amp; Edit'!H10)</f>
        <v/>
      </c>
      <c r="G8" s="421" t="str">
        <f>IF(AND('GA55 Check &amp; Edit'!I10=""),"",'GA55 Check &amp; Edit'!I10)</f>
        <v>0</v>
      </c>
      <c r="H8" s="421" t="str">
        <f>IF(AND('GA55 Check &amp; Edit'!J10=""),"",'GA55 Check &amp; Edit'!J10)</f>
        <v/>
      </c>
      <c r="I8" s="421" t="str">
        <f>IF(AND('GA55 Check &amp; Edit'!K10=""),"",'GA55 Check &amp; Edit'!K10)</f>
        <v/>
      </c>
      <c r="J8" s="421" t="str">
        <f>IF(AND('GA55 Check &amp; Edit'!L10=""),"",'GA55 Check &amp; Edit'!L10)</f>
        <v/>
      </c>
      <c r="K8" s="421" t="str">
        <f>IF(AND('GA55 Check &amp; Edit'!M10=""),"",'GA55 Check &amp; Edit'!M10)</f>
        <v/>
      </c>
      <c r="L8" s="421" t="str">
        <f>IF(AND('GA55 Check &amp; Edit'!N10=""),"",'GA55 Check &amp; Edit'!N10)</f>
        <v>0</v>
      </c>
      <c r="M8" s="421">
        <f>IF(AND('GA55 Check &amp; Edit'!O10=""),"",'GA55 Check &amp; Edit'!O10)</f>
        <v>72600</v>
      </c>
      <c r="N8" s="421" t="str">
        <f>IF(AND('GA55 Check &amp; Edit'!P10=""),"",'GA55 Check &amp; Edit'!P10)</f>
        <v/>
      </c>
      <c r="O8" s="421"/>
      <c r="P8" s="421"/>
      <c r="Q8" s="421">
        <f>IF(AND('GA55 Check &amp; Edit'!S10=""),"",'GA55 Check &amp; Edit'!S10)</f>
        <v>658</v>
      </c>
      <c r="R8" s="421">
        <f>IF(AND('GA55 Check &amp; Edit'!T10=""),"",'GA55 Check &amp; Edit'!T10)</f>
        <v>3000</v>
      </c>
      <c r="S8" s="421">
        <f>IF(AND('GA55 Check &amp; Edit'!U10=""),"",'GA55 Check &amp; Edit'!U10)</f>
        <v>2100</v>
      </c>
      <c r="T8" s="421" t="str">
        <f>IF(AND('GA55 Check &amp; Edit'!V10=""),"",'GA55 Check &amp; Edit'!V10)</f>
        <v/>
      </c>
      <c r="U8" s="421" t="str">
        <f>IF(AND('GA55 Check &amp; Edit'!W10=""),"",'GA55 Check &amp; Edit'!W10)</f>
        <v/>
      </c>
      <c r="V8" s="421" t="str">
        <f>IF(AND('GA55 Check &amp; Edit'!X10=""),"",'GA55 Check &amp; Edit'!X10)</f>
        <v/>
      </c>
      <c r="W8" s="421" t="str">
        <f>IF(AND('GA55 Check &amp; Edit'!Y10=""),"",'GA55 Check &amp; Edit'!Y10)</f>
        <v/>
      </c>
      <c r="X8" s="421" t="str">
        <f>IF(AND('GA55 Check &amp; Edit'!Z10=""),"",'GA55 Check &amp; Edit'!Z10)</f>
        <v/>
      </c>
      <c r="Y8" s="421" t="str">
        <f>IF(AND('GA55 Check &amp; Edit'!AA10=""),"",'GA55 Check &amp; Edit'!AA10)</f>
        <v/>
      </c>
      <c r="Z8" s="421">
        <f>IF(AND('GA55 Check &amp; Edit'!AB10=""),"",'GA55 Check &amp; Edit'!AB10)</f>
        <v>7858</v>
      </c>
      <c r="AA8" s="421">
        <f>IF(AND('GA55 Check &amp; Edit'!AC10=""),"",'GA55 Check &amp; Edit'!AC10)</f>
        <v>64742</v>
      </c>
      <c r="AB8" s="421" t="str">
        <f>IF(AND('GA55 Check &amp; Edit'!AD10=""),"",'GA55 Check &amp; Edit'!AD10)</f>
        <v/>
      </c>
      <c r="AC8" s="422" t="str">
        <f>IF(AND('GA55 Check &amp; Edit'!AE10=""),"",'GA55 Check &amp; Edit'!AE10)</f>
        <v/>
      </c>
      <c r="AD8" s="1"/>
      <c r="AE8" s="1"/>
      <c r="AF8" s="1"/>
      <c r="AG8" s="36"/>
      <c r="AH8" s="1"/>
    </row>
    <row r="9" ht="21.75" customHeight="1">
      <c r="A9" s="418">
        <v>4.0</v>
      </c>
      <c r="B9" s="419">
        <f>IF(AND('GA55 Check &amp; Edit'!D11=""),"",'GA55 Check &amp; Edit'!D11)</f>
        <v>45809</v>
      </c>
      <c r="C9" s="421">
        <f>IF(AND('GA55 Check &amp; Edit'!E11=""),"",'GA55 Check &amp; Edit'!E11)</f>
        <v>38000</v>
      </c>
      <c r="D9" s="421">
        <f>IF(AND('GA55 Check &amp; Edit'!F11=""),"",'GA55 Check &amp; Edit'!F11)</f>
        <v>20900</v>
      </c>
      <c r="E9" s="421">
        <f>IF(AND('GA55 Check &amp; Edit'!G11=""),"",'GA55 Check &amp; Edit'!G11)</f>
        <v>3800</v>
      </c>
      <c r="F9" s="421" t="str">
        <f>IF(AND('GA55 Check &amp; Edit'!H11=""),"",'GA55 Check &amp; Edit'!H11)</f>
        <v/>
      </c>
      <c r="G9" s="421" t="str">
        <f>IF(AND('GA55 Check &amp; Edit'!I11=""),"",'GA55 Check &amp; Edit'!I11)</f>
        <v>0</v>
      </c>
      <c r="H9" s="421" t="str">
        <f>IF(AND('GA55 Check &amp; Edit'!J11=""),"",'GA55 Check &amp; Edit'!J11)</f>
        <v/>
      </c>
      <c r="I9" s="421" t="str">
        <f>IF(AND('GA55 Check &amp; Edit'!K11=""),"",'GA55 Check &amp; Edit'!K11)</f>
        <v/>
      </c>
      <c r="J9" s="421" t="str">
        <f>IF(AND('GA55 Check &amp; Edit'!L11=""),"",'GA55 Check &amp; Edit'!L11)</f>
        <v/>
      </c>
      <c r="K9" s="421" t="str">
        <f>IF(AND('GA55 Check &amp; Edit'!M11=""),"",'GA55 Check &amp; Edit'!M11)</f>
        <v/>
      </c>
      <c r="L9" s="421" t="str">
        <f>IF(AND('GA55 Check &amp; Edit'!N11=""),"",'GA55 Check &amp; Edit'!N11)</f>
        <v>0</v>
      </c>
      <c r="M9" s="421">
        <f>IF(AND('GA55 Check &amp; Edit'!O11=""),"",'GA55 Check &amp; Edit'!O11)</f>
        <v>62700</v>
      </c>
      <c r="N9" s="421" t="str">
        <f>IF(AND('GA55 Check &amp; Edit'!P11=""),"",'GA55 Check &amp; Edit'!P11)</f>
        <v/>
      </c>
      <c r="O9" s="421"/>
      <c r="P9" s="421"/>
      <c r="Q9" s="421">
        <f>IF(AND('GA55 Check &amp; Edit'!S11=""),"",'GA55 Check &amp; Edit'!S11)</f>
        <v>658</v>
      </c>
      <c r="R9" s="421">
        <f>IF(AND('GA55 Check &amp; Edit'!T11=""),"",'GA55 Check &amp; Edit'!T11)</f>
        <v>3000</v>
      </c>
      <c r="S9" s="421">
        <f>IF(AND('GA55 Check &amp; Edit'!U11=""),"",'GA55 Check &amp; Edit'!U11)</f>
        <v>2100</v>
      </c>
      <c r="T9" s="421" t="str">
        <f>IF(AND('GA55 Check &amp; Edit'!V11=""),"",'GA55 Check &amp; Edit'!V11)</f>
        <v/>
      </c>
      <c r="U9" s="421" t="str">
        <f>IF(AND('GA55 Check &amp; Edit'!W11=""),"",'GA55 Check &amp; Edit'!W11)</f>
        <v/>
      </c>
      <c r="V9" s="421" t="str">
        <f>IF(AND('GA55 Check &amp; Edit'!X11=""),"",'GA55 Check &amp; Edit'!X11)</f>
        <v/>
      </c>
      <c r="W9" s="421" t="str">
        <f>IF(AND('GA55 Check &amp; Edit'!Y11=""),"",'GA55 Check &amp; Edit'!Y11)</f>
        <v/>
      </c>
      <c r="X9" s="421" t="str">
        <f>IF(AND('GA55 Check &amp; Edit'!Z11=""),"",'GA55 Check &amp; Edit'!Z11)</f>
        <v/>
      </c>
      <c r="Y9" s="421" t="str">
        <f>IF(AND('GA55 Check &amp; Edit'!AA11=""),"",'GA55 Check &amp; Edit'!AA11)</f>
        <v/>
      </c>
      <c r="Z9" s="421">
        <f>IF(AND('GA55 Check &amp; Edit'!AB11=""),"",'GA55 Check &amp; Edit'!AB11)</f>
        <v>7858</v>
      </c>
      <c r="AA9" s="421">
        <f>IF(AND('GA55 Check &amp; Edit'!AC11=""),"",'GA55 Check &amp; Edit'!AC11)</f>
        <v>54842</v>
      </c>
      <c r="AB9" s="421" t="str">
        <f>IF(AND('GA55 Check &amp; Edit'!AD11=""),"",'GA55 Check &amp; Edit'!AD11)</f>
        <v/>
      </c>
      <c r="AC9" s="422" t="str">
        <f>IF(AND('GA55 Check &amp; Edit'!AE11=""),"",'GA55 Check &amp; Edit'!AE11)</f>
        <v/>
      </c>
      <c r="AD9" s="1"/>
      <c r="AE9" s="1"/>
      <c r="AF9" s="1"/>
      <c r="AG9" s="36"/>
      <c r="AH9" s="1"/>
    </row>
    <row r="10" ht="21.75" customHeight="1">
      <c r="A10" s="418">
        <v>5.0</v>
      </c>
      <c r="B10" s="419">
        <f>IF(AND('GA55 Check &amp; Edit'!D12=""),"",'GA55 Check &amp; Edit'!D12)</f>
        <v>45839</v>
      </c>
      <c r="C10" s="421">
        <f>IF(AND('GA55 Check &amp; Edit'!E12=""),"",'GA55 Check &amp; Edit'!E12)</f>
        <v>39100</v>
      </c>
      <c r="D10" s="421">
        <f>IF(AND('GA55 Check &amp; Edit'!F12=""),"",'GA55 Check &amp; Edit'!F12)</f>
        <v>21505</v>
      </c>
      <c r="E10" s="421">
        <f>IF(AND('GA55 Check &amp; Edit'!G12=""),"",'GA55 Check &amp; Edit'!G12)</f>
        <v>3910</v>
      </c>
      <c r="F10" s="421" t="str">
        <f>IF(AND('GA55 Check &amp; Edit'!H12=""),"",'GA55 Check &amp; Edit'!H12)</f>
        <v/>
      </c>
      <c r="G10" s="421" t="str">
        <f>IF(AND('GA55 Check &amp; Edit'!I12=""),"",'GA55 Check &amp; Edit'!I12)</f>
        <v>0</v>
      </c>
      <c r="H10" s="421" t="str">
        <f>IF(AND('GA55 Check &amp; Edit'!J12=""),"",'GA55 Check &amp; Edit'!J12)</f>
        <v/>
      </c>
      <c r="I10" s="421" t="str">
        <f>IF(AND('GA55 Check &amp; Edit'!K12=""),"",'GA55 Check &amp; Edit'!K12)</f>
        <v/>
      </c>
      <c r="J10" s="421" t="str">
        <f>IF(AND('GA55 Check &amp; Edit'!L12=""),"",'GA55 Check &amp; Edit'!L12)</f>
        <v/>
      </c>
      <c r="K10" s="421" t="str">
        <f>IF(AND('GA55 Check &amp; Edit'!M12=""),"",'GA55 Check &amp; Edit'!M12)</f>
        <v/>
      </c>
      <c r="L10" s="421" t="str">
        <f>IF(AND('GA55 Check &amp; Edit'!N12=""),"",'GA55 Check &amp; Edit'!N12)</f>
        <v>0</v>
      </c>
      <c r="M10" s="421">
        <f>IF(AND('GA55 Check &amp; Edit'!O12=""),"",'GA55 Check &amp; Edit'!O12)</f>
        <v>64515</v>
      </c>
      <c r="N10" s="421" t="str">
        <f>IF(AND('GA55 Check &amp; Edit'!P12=""),"",'GA55 Check &amp; Edit'!P12)</f>
        <v/>
      </c>
      <c r="O10" s="421"/>
      <c r="P10" s="421"/>
      <c r="Q10" s="421">
        <f>IF(AND('GA55 Check &amp; Edit'!S12=""),"",'GA55 Check &amp; Edit'!S12)</f>
        <v>658</v>
      </c>
      <c r="R10" s="421">
        <f>IF(AND('GA55 Check &amp; Edit'!T12=""),"",'GA55 Check &amp; Edit'!T12)</f>
        <v>3000</v>
      </c>
      <c r="S10" s="421">
        <f>IF(AND('GA55 Check &amp; Edit'!U12=""),"",'GA55 Check &amp; Edit'!U12)</f>
        <v>2100</v>
      </c>
      <c r="T10" s="421" t="str">
        <f>IF(AND('GA55 Check &amp; Edit'!V12=""),"",'GA55 Check &amp; Edit'!V12)</f>
        <v/>
      </c>
      <c r="U10" s="421" t="str">
        <f>IF(AND('GA55 Check &amp; Edit'!W12=""),"",'GA55 Check &amp; Edit'!W12)</f>
        <v/>
      </c>
      <c r="V10" s="421" t="str">
        <f>IF(AND('GA55 Check &amp; Edit'!X12=""),"",'GA55 Check &amp; Edit'!X12)</f>
        <v/>
      </c>
      <c r="W10" s="421" t="str">
        <f>IF(AND('GA55 Check &amp; Edit'!Y12=""),"",'GA55 Check &amp; Edit'!Y12)</f>
        <v/>
      </c>
      <c r="X10" s="421" t="str">
        <f>IF(AND('GA55 Check &amp; Edit'!Z12=""),"",'GA55 Check &amp; Edit'!Z12)</f>
        <v/>
      </c>
      <c r="Y10" s="421" t="str">
        <f>IF(AND('GA55 Check &amp; Edit'!AA12=""),"",'GA55 Check &amp; Edit'!AA12)</f>
        <v/>
      </c>
      <c r="Z10" s="421">
        <f>IF(AND('GA55 Check &amp; Edit'!AB12=""),"",'GA55 Check &amp; Edit'!AB12)</f>
        <v>8608</v>
      </c>
      <c r="AA10" s="421">
        <f>IF(AND('GA55 Check &amp; Edit'!AC12=""),"",'GA55 Check &amp; Edit'!AC12)</f>
        <v>55907</v>
      </c>
      <c r="AB10" s="421" t="str">
        <f>IF(AND('GA55 Check &amp; Edit'!AD12=""),"",'GA55 Check &amp; Edit'!AD12)</f>
        <v/>
      </c>
      <c r="AC10" s="422" t="str">
        <f>IF(AND('GA55 Check &amp; Edit'!AE12=""),"",'GA55 Check &amp; Edit'!AE12)</f>
        <v/>
      </c>
      <c r="AD10" s="1"/>
      <c r="AE10" s="1"/>
      <c r="AF10" s="1"/>
      <c r="AG10" s="36"/>
      <c r="AH10" s="1"/>
    </row>
    <row r="11" ht="21.75" customHeight="1">
      <c r="A11" s="418">
        <v>6.0</v>
      </c>
      <c r="B11" s="419">
        <f>IF(AND('GA55 Check &amp; Edit'!D13=""),"",'GA55 Check &amp; Edit'!D13)</f>
        <v>45870</v>
      </c>
      <c r="C11" s="421">
        <f>IF(AND('GA55 Check &amp; Edit'!E13=""),"",'GA55 Check &amp; Edit'!E13)</f>
        <v>39100</v>
      </c>
      <c r="D11" s="421">
        <f>IF(AND('GA55 Check &amp; Edit'!F13=""),"",'GA55 Check &amp; Edit'!F13)</f>
        <v>21505</v>
      </c>
      <c r="E11" s="421">
        <f>IF(AND('GA55 Check &amp; Edit'!G13=""),"",'GA55 Check &amp; Edit'!G13)</f>
        <v>3910</v>
      </c>
      <c r="F11" s="421" t="str">
        <f>IF(AND('GA55 Check &amp; Edit'!H13=""),"",'GA55 Check &amp; Edit'!H13)</f>
        <v/>
      </c>
      <c r="G11" s="421" t="str">
        <f>IF(AND('GA55 Check &amp; Edit'!I13=""),"",'GA55 Check &amp; Edit'!I13)</f>
        <v>0</v>
      </c>
      <c r="H11" s="421" t="str">
        <f>IF(AND('GA55 Check &amp; Edit'!J13=""),"",'GA55 Check &amp; Edit'!J13)</f>
        <v/>
      </c>
      <c r="I11" s="421" t="str">
        <f>IF(AND('GA55 Check &amp; Edit'!K13=""),"",'GA55 Check &amp; Edit'!K13)</f>
        <v/>
      </c>
      <c r="J11" s="421" t="str">
        <f>IF(AND('GA55 Check &amp; Edit'!L13=""),"",'GA55 Check &amp; Edit'!L13)</f>
        <v/>
      </c>
      <c r="K11" s="421" t="str">
        <f>IF(AND('GA55 Check &amp; Edit'!M13=""),"",'GA55 Check &amp; Edit'!M13)</f>
        <v/>
      </c>
      <c r="L11" s="421" t="str">
        <f>IF(AND('GA55 Check &amp; Edit'!N13=""),"",'GA55 Check &amp; Edit'!N13)</f>
        <v>0</v>
      </c>
      <c r="M11" s="421">
        <f>IF(AND('GA55 Check &amp; Edit'!O13=""),"",'GA55 Check &amp; Edit'!O13)</f>
        <v>64515</v>
      </c>
      <c r="N11" s="421" t="str">
        <f>IF(AND('GA55 Check &amp; Edit'!P13=""),"",'GA55 Check &amp; Edit'!P13)</f>
        <v/>
      </c>
      <c r="O11" s="421"/>
      <c r="P11" s="421"/>
      <c r="Q11" s="421">
        <f>IF(AND('GA55 Check &amp; Edit'!S13=""),"",'GA55 Check &amp; Edit'!S13)</f>
        <v>658</v>
      </c>
      <c r="R11" s="421">
        <f>IF(AND('GA55 Check &amp; Edit'!T13=""),"",'GA55 Check &amp; Edit'!T13)</f>
        <v>3000</v>
      </c>
      <c r="S11" s="421">
        <f>IF(AND('GA55 Check &amp; Edit'!U13=""),"",'GA55 Check &amp; Edit'!U13)</f>
        <v>2100</v>
      </c>
      <c r="T11" s="421" t="str">
        <f>IF(AND('GA55 Check &amp; Edit'!V13=""),"",'GA55 Check &amp; Edit'!V13)</f>
        <v/>
      </c>
      <c r="U11" s="421" t="str">
        <f>IF(AND('GA55 Check &amp; Edit'!W13=""),"",'GA55 Check &amp; Edit'!W13)</f>
        <v/>
      </c>
      <c r="V11" s="421" t="str">
        <f>IF(AND('GA55 Check &amp; Edit'!X13=""),"",'GA55 Check &amp; Edit'!X13)</f>
        <v/>
      </c>
      <c r="W11" s="421" t="str">
        <f>IF(AND('GA55 Check &amp; Edit'!Y13=""),"",'GA55 Check &amp; Edit'!Y13)</f>
        <v/>
      </c>
      <c r="X11" s="421" t="str">
        <f>IF(AND('GA55 Check &amp; Edit'!Z13=""),"",'GA55 Check &amp; Edit'!Z13)</f>
        <v/>
      </c>
      <c r="Y11" s="421" t="str">
        <f>IF(AND('GA55 Check &amp; Edit'!AA13=""),"",'GA55 Check &amp; Edit'!AA13)</f>
        <v/>
      </c>
      <c r="Z11" s="421">
        <f>IF(AND('GA55 Check &amp; Edit'!AB13=""),"",'GA55 Check &amp; Edit'!AB13)</f>
        <v>8608</v>
      </c>
      <c r="AA11" s="421">
        <f>IF(AND('GA55 Check &amp; Edit'!AC13=""),"",'GA55 Check &amp; Edit'!AC13)</f>
        <v>55907</v>
      </c>
      <c r="AB11" s="421" t="str">
        <f>IF(AND('GA55 Check &amp; Edit'!AD13=""),"",'GA55 Check &amp; Edit'!AD13)</f>
        <v/>
      </c>
      <c r="AC11" s="422" t="str">
        <f>IF(AND('GA55 Check &amp; Edit'!AE13=""),"",'GA55 Check &amp; Edit'!AE13)</f>
        <v/>
      </c>
      <c r="AD11" s="1"/>
      <c r="AE11" s="1"/>
      <c r="AF11" s="1"/>
      <c r="AG11" s="36"/>
      <c r="AH11" s="1"/>
    </row>
    <row r="12" ht="21.75" customHeight="1">
      <c r="A12" s="418">
        <v>7.0</v>
      </c>
      <c r="B12" s="419">
        <f>IF(AND('GA55 Check &amp; Edit'!D14=""),"",'GA55 Check &amp; Edit'!D14)</f>
        <v>45901</v>
      </c>
      <c r="C12" s="421">
        <f>IF(AND('GA55 Check &amp; Edit'!E14=""),"",'GA55 Check &amp; Edit'!E14)</f>
        <v>39100</v>
      </c>
      <c r="D12" s="421">
        <f>IF(AND('GA55 Check &amp; Edit'!F14=""),"",'GA55 Check &amp; Edit'!F14)</f>
        <v>21505</v>
      </c>
      <c r="E12" s="421">
        <f>IF(AND('GA55 Check &amp; Edit'!G14=""),"",'GA55 Check &amp; Edit'!G14)</f>
        <v>3910</v>
      </c>
      <c r="F12" s="421" t="str">
        <f>IF(AND('GA55 Check &amp; Edit'!H14=""),"",'GA55 Check &amp; Edit'!H14)</f>
        <v/>
      </c>
      <c r="G12" s="421" t="str">
        <f>IF(AND('GA55 Check &amp; Edit'!I14=""),"",'GA55 Check &amp; Edit'!I14)</f>
        <v>0</v>
      </c>
      <c r="H12" s="421" t="str">
        <f>IF(AND('GA55 Check &amp; Edit'!J14=""),"",'GA55 Check &amp; Edit'!J14)</f>
        <v/>
      </c>
      <c r="I12" s="421" t="str">
        <f>IF(AND('GA55 Check &amp; Edit'!K14=""),"",'GA55 Check &amp; Edit'!K14)</f>
        <v/>
      </c>
      <c r="J12" s="421" t="str">
        <f>IF(AND('GA55 Check &amp; Edit'!L14=""),"",'GA55 Check &amp; Edit'!L14)</f>
        <v/>
      </c>
      <c r="K12" s="421" t="str">
        <f>IF(AND('GA55 Check &amp; Edit'!M14=""),"",'GA55 Check &amp; Edit'!M14)</f>
        <v/>
      </c>
      <c r="L12" s="421" t="str">
        <f>IF(AND('GA55 Check &amp; Edit'!N14=""),"",'GA55 Check &amp; Edit'!N14)</f>
        <v>0</v>
      </c>
      <c r="M12" s="421">
        <f>IF(AND('GA55 Check &amp; Edit'!O14=""),"",'GA55 Check &amp; Edit'!O14)</f>
        <v>64515</v>
      </c>
      <c r="N12" s="421" t="str">
        <f>IF(AND('GA55 Check &amp; Edit'!P14=""),"",'GA55 Check &amp; Edit'!P14)</f>
        <v/>
      </c>
      <c r="O12" s="421"/>
      <c r="P12" s="421"/>
      <c r="Q12" s="421">
        <f>IF(AND('GA55 Check &amp; Edit'!S14=""),"",'GA55 Check &amp; Edit'!S14)</f>
        <v>658</v>
      </c>
      <c r="R12" s="421">
        <f>IF(AND('GA55 Check &amp; Edit'!T14=""),"",'GA55 Check &amp; Edit'!T14)</f>
        <v>3000</v>
      </c>
      <c r="S12" s="421">
        <f>IF(AND('GA55 Check &amp; Edit'!U14=""),"",'GA55 Check &amp; Edit'!U14)</f>
        <v>2100</v>
      </c>
      <c r="T12" s="421" t="str">
        <f>IF(AND('GA55 Check &amp; Edit'!V14=""),"",'GA55 Check &amp; Edit'!V14)</f>
        <v/>
      </c>
      <c r="U12" s="421" t="str">
        <f>IF(AND('GA55 Check &amp; Edit'!W14=""),"",'GA55 Check &amp; Edit'!W14)</f>
        <v/>
      </c>
      <c r="V12" s="421" t="str">
        <f>IF(AND('GA55 Check &amp; Edit'!X14=""),"",'GA55 Check &amp; Edit'!X14)</f>
        <v/>
      </c>
      <c r="W12" s="421" t="str">
        <f>IF(AND('GA55 Check &amp; Edit'!Y14=""),"",'GA55 Check &amp; Edit'!Y14)</f>
        <v/>
      </c>
      <c r="X12" s="421" t="str">
        <f>IF(AND('GA55 Check &amp; Edit'!Z14=""),"",'GA55 Check &amp; Edit'!Z14)</f>
        <v/>
      </c>
      <c r="Y12" s="421" t="str">
        <f>IF(AND('GA55 Check &amp; Edit'!AA14=""),"",'GA55 Check &amp; Edit'!AA14)</f>
        <v/>
      </c>
      <c r="Z12" s="421">
        <f>IF(AND('GA55 Check &amp; Edit'!AB14=""),"",'GA55 Check &amp; Edit'!AB14)</f>
        <v>8608</v>
      </c>
      <c r="AA12" s="421">
        <f>IF(AND('GA55 Check &amp; Edit'!AC14=""),"",'GA55 Check &amp; Edit'!AC14)</f>
        <v>55907</v>
      </c>
      <c r="AB12" s="421" t="str">
        <f>IF(AND('GA55 Check &amp; Edit'!AD14=""),"",'GA55 Check &amp; Edit'!AD14)</f>
        <v/>
      </c>
      <c r="AC12" s="422" t="str">
        <f>IF(AND('GA55 Check &amp; Edit'!AE14=""),"",'GA55 Check &amp; Edit'!AE14)</f>
        <v/>
      </c>
      <c r="AD12" s="1"/>
      <c r="AE12" s="1"/>
      <c r="AF12" s="1"/>
      <c r="AG12" s="36"/>
      <c r="AH12" s="1"/>
    </row>
    <row r="13" ht="21.75" customHeight="1">
      <c r="A13" s="418">
        <v>8.0</v>
      </c>
      <c r="B13" s="419">
        <f>IF(AND('GA55 Check &amp; Edit'!D15=""),"",'GA55 Check &amp; Edit'!D15)</f>
        <v>45931</v>
      </c>
      <c r="C13" s="421">
        <f>IF(AND('GA55 Check &amp; Edit'!E15=""),"",'GA55 Check &amp; Edit'!E15)</f>
        <v>39100</v>
      </c>
      <c r="D13" s="421">
        <f>IF(AND('GA55 Check &amp; Edit'!F15=""),"",'GA55 Check &amp; Edit'!F15)</f>
        <v>22678</v>
      </c>
      <c r="E13" s="421">
        <f>IF(AND('GA55 Check &amp; Edit'!G15=""),"",'GA55 Check &amp; Edit'!G15)</f>
        <v>3910</v>
      </c>
      <c r="F13" s="421" t="str">
        <f>IF(AND('GA55 Check &amp; Edit'!H15=""),"",'GA55 Check &amp; Edit'!H15)</f>
        <v/>
      </c>
      <c r="G13" s="421" t="str">
        <f>IF(AND('GA55 Check &amp; Edit'!I15=""),"",'GA55 Check &amp; Edit'!I15)</f>
        <v>0</v>
      </c>
      <c r="H13" s="421" t="str">
        <f>IF(AND('GA55 Check &amp; Edit'!J15=""),"",'GA55 Check &amp; Edit'!J15)</f>
        <v/>
      </c>
      <c r="I13" s="421" t="str">
        <f>IF(AND('GA55 Check &amp; Edit'!K15=""),"",'GA55 Check &amp; Edit'!K15)</f>
        <v/>
      </c>
      <c r="J13" s="421" t="str">
        <f>IF(AND('GA55 Check &amp; Edit'!L15=""),"",'GA55 Check &amp; Edit'!L15)</f>
        <v/>
      </c>
      <c r="K13" s="421" t="str">
        <f>IF(AND('GA55 Check &amp; Edit'!M15=""),"",'GA55 Check &amp; Edit'!M15)</f>
        <v/>
      </c>
      <c r="L13" s="421">
        <v>0.0</v>
      </c>
      <c r="M13" s="421">
        <f>IF(AND('GA55 Check &amp; Edit'!O15=""),"",'GA55 Check &amp; Edit'!O15)</f>
        <v>65688</v>
      </c>
      <c r="N13" s="421" t="str">
        <f>IF(AND('GA55 Check &amp; Edit'!P15=""),"",'GA55 Check &amp; Edit'!P15)</f>
        <v/>
      </c>
      <c r="O13" s="421"/>
      <c r="P13" s="421"/>
      <c r="Q13" s="421">
        <f>IF(AND('GA55 Check &amp; Edit'!S15=""),"",'GA55 Check &amp; Edit'!S15)</f>
        <v>658</v>
      </c>
      <c r="R13" s="421">
        <f>IF(AND('GA55 Check &amp; Edit'!T15=""),"",'GA55 Check &amp; Edit'!T15)</f>
        <v>3000</v>
      </c>
      <c r="S13" s="421">
        <f>IF(AND('GA55 Check &amp; Edit'!U15=""),"",'GA55 Check &amp; Edit'!U15)</f>
        <v>2100</v>
      </c>
      <c r="T13" s="421" t="str">
        <f>IF(AND('GA55 Check &amp; Edit'!V15=""),"",'GA55 Check &amp; Edit'!V15)</f>
        <v/>
      </c>
      <c r="U13" s="421" t="str">
        <f>IF(AND('GA55 Check &amp; Edit'!W15=""),"",'GA55 Check &amp; Edit'!W15)</f>
        <v/>
      </c>
      <c r="V13" s="421" t="str">
        <f>IF(AND('GA55 Check &amp; Edit'!X15=""),"",'GA55 Check &amp; Edit'!X15)</f>
        <v/>
      </c>
      <c r="W13" s="421" t="str">
        <f>IF(AND('GA55 Check &amp; Edit'!Y15=""),"",'GA55 Check &amp; Edit'!Y15)</f>
        <v/>
      </c>
      <c r="X13" s="421" t="str">
        <f>IF(AND('GA55 Check &amp; Edit'!Z15=""),"",'GA55 Check &amp; Edit'!Z15)</f>
        <v/>
      </c>
      <c r="Y13" s="421" t="str">
        <f>IF(AND('GA55 Check &amp; Edit'!AA15=""),"",'GA55 Check &amp; Edit'!AA15)</f>
        <v/>
      </c>
      <c r="Z13" s="421">
        <f>IF(AND('GA55 Check &amp; Edit'!AB15=""),"",'GA55 Check &amp; Edit'!AB15)</f>
        <v>8608</v>
      </c>
      <c r="AA13" s="421">
        <v>71801.0</v>
      </c>
      <c r="AB13" s="421" t="str">
        <f>IF(AND('GA55 Check &amp; Edit'!AD15=""),"",'GA55 Check &amp; Edit'!AD15)</f>
        <v/>
      </c>
      <c r="AC13" s="422" t="str">
        <f>IF(AND('GA55 Check &amp; Edit'!AE15=""),"",'GA55 Check &amp; Edit'!AE15)</f>
        <v/>
      </c>
      <c r="AD13" s="1"/>
      <c r="AE13" s="1"/>
      <c r="AF13" s="1"/>
      <c r="AG13" s="36"/>
      <c r="AH13" s="1"/>
    </row>
    <row r="14" ht="21.75" customHeight="1">
      <c r="A14" s="418">
        <v>9.0</v>
      </c>
      <c r="B14" s="419">
        <f>IF(AND('GA55 Check &amp; Edit'!D16=""),"",'GA55 Check &amp; Edit'!D16)</f>
        <v>45962</v>
      </c>
      <c r="C14" s="421">
        <f>IF(AND('GA55 Check &amp; Edit'!E16=""),"",'GA55 Check &amp; Edit'!E16)</f>
        <v>39100</v>
      </c>
      <c r="D14" s="421">
        <f>IF(AND('GA55 Check &amp; Edit'!F16=""),"",'GA55 Check &amp; Edit'!F16)</f>
        <v>22678</v>
      </c>
      <c r="E14" s="421">
        <f>IF(AND('GA55 Check &amp; Edit'!G16=""),"",'GA55 Check &amp; Edit'!G16)</f>
        <v>3910</v>
      </c>
      <c r="F14" s="421" t="str">
        <f>IF(AND('GA55 Check &amp; Edit'!H16=""),"",'GA55 Check &amp; Edit'!H16)</f>
        <v/>
      </c>
      <c r="G14" s="421" t="str">
        <f>IF(AND('GA55 Check &amp; Edit'!I16=""),"",'GA55 Check &amp; Edit'!I16)</f>
        <v>0</v>
      </c>
      <c r="H14" s="421" t="str">
        <f>IF(AND('GA55 Check &amp; Edit'!J16=""),"",'GA55 Check &amp; Edit'!J16)</f>
        <v/>
      </c>
      <c r="I14" s="421" t="str">
        <f>IF(AND('GA55 Check &amp; Edit'!K16=""),"",'GA55 Check &amp; Edit'!K16)</f>
        <v/>
      </c>
      <c r="J14" s="421" t="str">
        <f>IF(AND('GA55 Check &amp; Edit'!L16=""),"",'GA55 Check &amp; Edit'!L16)</f>
        <v/>
      </c>
      <c r="K14" s="421" t="str">
        <f>IF(AND('GA55 Check &amp; Edit'!M16=""),"",'GA55 Check &amp; Edit'!M16)</f>
        <v/>
      </c>
      <c r="L14" s="421" t="str">
        <f>IF(AND('GA55 Check &amp; Edit'!N16=""),"",'GA55 Check &amp; Edit'!N16)</f>
        <v>0</v>
      </c>
      <c r="M14" s="421">
        <f>IF(AND('GA55 Check &amp; Edit'!O16=""),"",'GA55 Check &amp; Edit'!O16)</f>
        <v>65688</v>
      </c>
      <c r="N14" s="421" t="str">
        <f>IF(AND('GA55 Check &amp; Edit'!P16=""),"",'GA55 Check &amp; Edit'!P16)</f>
        <v/>
      </c>
      <c r="O14" s="421"/>
      <c r="P14" s="421"/>
      <c r="Q14" s="421">
        <f>IF(AND('GA55 Check &amp; Edit'!S16=""),"",'GA55 Check &amp; Edit'!S16)</f>
        <v>658</v>
      </c>
      <c r="R14" s="421">
        <f>IF(AND('GA55 Check &amp; Edit'!T16=""),"",'GA55 Check &amp; Edit'!T16)</f>
        <v>3000</v>
      </c>
      <c r="S14" s="421">
        <f>IF(AND('GA55 Check &amp; Edit'!U16=""),"",'GA55 Check &amp; Edit'!U16)</f>
        <v>2100</v>
      </c>
      <c r="T14" s="421" t="str">
        <f>IF(AND('GA55 Check &amp; Edit'!V16=""),"",'GA55 Check &amp; Edit'!V16)</f>
        <v/>
      </c>
      <c r="U14" s="421" t="str">
        <f>IF(AND('GA55 Check &amp; Edit'!W16=""),"",'GA55 Check &amp; Edit'!W16)</f>
        <v/>
      </c>
      <c r="V14" s="421" t="str">
        <f>IF(AND('GA55 Check &amp; Edit'!X16=""),"",'GA55 Check &amp; Edit'!X16)</f>
        <v/>
      </c>
      <c r="W14" s="421" t="str">
        <f>IF(AND('GA55 Check &amp; Edit'!Y16=""),"",'GA55 Check &amp; Edit'!Y16)</f>
        <v/>
      </c>
      <c r="X14" s="421">
        <f>IF(AND('GA55 Check &amp; Edit'!Z16=""),"",'GA55 Check &amp; Edit'!Z16)</f>
        <v>0</v>
      </c>
      <c r="Y14" s="421" t="str">
        <f>IF(AND('GA55 Check &amp; Edit'!AA16=""),"",'GA55 Check &amp; Edit'!AA16)</f>
        <v/>
      </c>
      <c r="Z14" s="421">
        <f>IF(AND('GA55 Check &amp; Edit'!AB16=""),"",'GA55 Check &amp; Edit'!AB16)</f>
        <v>8608</v>
      </c>
      <c r="AA14" s="421">
        <f>IF(AND('GA55 Check &amp; Edit'!AC16=""),"",'GA55 Check &amp; Edit'!AC16)</f>
        <v>57080</v>
      </c>
      <c r="AB14" s="421" t="str">
        <f>IF(AND('GA55 Check &amp; Edit'!AD16=""),"",'GA55 Check &amp; Edit'!AD16)</f>
        <v/>
      </c>
      <c r="AC14" s="422" t="str">
        <f>IF(AND('GA55 Check &amp; Edit'!AE16=""),"",'GA55 Check &amp; Edit'!AE16)</f>
        <v/>
      </c>
      <c r="AD14" s="1"/>
      <c r="AE14" s="1"/>
      <c r="AF14" s="423"/>
      <c r="AG14" s="36"/>
      <c r="AH14" s="1"/>
    </row>
    <row r="15" ht="21.75" customHeight="1">
      <c r="A15" s="418">
        <v>10.0</v>
      </c>
      <c r="B15" s="419">
        <f>IF(AND('GA55 Check &amp; Edit'!D17=""),"",'GA55 Check &amp; Edit'!D17)</f>
        <v>45992</v>
      </c>
      <c r="C15" s="421">
        <f>IF(AND('GA55 Check &amp; Edit'!E17=""),"",'GA55 Check &amp; Edit'!E17)</f>
        <v>39100</v>
      </c>
      <c r="D15" s="421">
        <f>IF(AND('GA55 Check &amp; Edit'!F17=""),"",'GA55 Check &amp; Edit'!F17)</f>
        <v>22678</v>
      </c>
      <c r="E15" s="421">
        <f>IF(AND('GA55 Check &amp; Edit'!G17=""),"",'GA55 Check &amp; Edit'!G17)</f>
        <v>3910</v>
      </c>
      <c r="F15" s="421" t="str">
        <f>IF(AND('GA55 Check &amp; Edit'!H17=""),"",'GA55 Check &amp; Edit'!H17)</f>
        <v/>
      </c>
      <c r="G15" s="421" t="str">
        <f>IF(AND('GA55 Check &amp; Edit'!I17=""),"",'GA55 Check &amp; Edit'!I17)</f>
        <v>0</v>
      </c>
      <c r="H15" s="421" t="str">
        <f>IF(AND('GA55 Check &amp; Edit'!J17=""),"",'GA55 Check &amp; Edit'!J17)</f>
        <v/>
      </c>
      <c r="I15" s="421" t="str">
        <f>IF(AND('GA55 Check &amp; Edit'!K17=""),"",'GA55 Check &amp; Edit'!K17)</f>
        <v/>
      </c>
      <c r="J15" s="421" t="str">
        <f>IF(AND('GA55 Check &amp; Edit'!L17=""),"",'GA55 Check &amp; Edit'!L17)</f>
        <v/>
      </c>
      <c r="K15" s="421" t="str">
        <f>IF(AND('GA55 Check &amp; Edit'!M17=""),"",'GA55 Check &amp; Edit'!M17)</f>
        <v/>
      </c>
      <c r="L15" s="421" t="str">
        <f>IF(AND('GA55 Check &amp; Edit'!N17=""),"",'GA55 Check &amp; Edit'!N17)</f>
        <v>0</v>
      </c>
      <c r="M15" s="421">
        <f>IF(AND('GA55 Check &amp; Edit'!O17=""),"",'GA55 Check &amp; Edit'!O17)</f>
        <v>65688</v>
      </c>
      <c r="N15" s="421" t="str">
        <f>IF(AND('GA55 Check &amp; Edit'!P17=""),"",'GA55 Check &amp; Edit'!P17)</f>
        <v/>
      </c>
      <c r="O15" s="421"/>
      <c r="P15" s="421"/>
      <c r="Q15" s="421">
        <f>IF(AND('GA55 Check &amp; Edit'!S17=""),"",'GA55 Check &amp; Edit'!S17)</f>
        <v>658</v>
      </c>
      <c r="R15" s="421">
        <f>IF(AND('GA55 Check &amp; Edit'!T17=""),"",'GA55 Check &amp; Edit'!T17)</f>
        <v>3000</v>
      </c>
      <c r="S15" s="421">
        <f>IF(AND('GA55 Check &amp; Edit'!U17=""),"",'GA55 Check &amp; Edit'!U17)</f>
        <v>2100</v>
      </c>
      <c r="T15" s="421" t="str">
        <f>IF(AND('GA55 Check &amp; Edit'!V17=""),"",'GA55 Check &amp; Edit'!V17)</f>
        <v/>
      </c>
      <c r="U15" s="421" t="str">
        <f>IF(AND('GA55 Check &amp; Edit'!W17=""),"",'GA55 Check &amp; Edit'!W17)</f>
        <v/>
      </c>
      <c r="V15" s="421"/>
      <c r="W15" s="421" t="str">
        <f>IF(AND('GA55 Check &amp; Edit'!Y17=""),"",'GA55 Check &amp; Edit'!Y17)</f>
        <v/>
      </c>
      <c r="X15" s="421">
        <f>IF(AND('GA55 Check &amp; Edit'!Z17=""),"",'GA55 Check &amp; Edit'!Z17)</f>
        <v>0</v>
      </c>
      <c r="Y15" s="421" t="str">
        <f>IF(AND('GA55 Check &amp; Edit'!AA17=""),"",'GA55 Check &amp; Edit'!AA17)</f>
        <v/>
      </c>
      <c r="Z15" s="421">
        <f>IF(AND('GA55 Check &amp; Edit'!AB17=""),"",'GA55 Check &amp; Edit'!AB17)</f>
        <v>8858</v>
      </c>
      <c r="AA15" s="421">
        <f>IF(AND('GA55 Check &amp; Edit'!AC17=""),"",'GA55 Check &amp; Edit'!AC17)</f>
        <v>56830</v>
      </c>
      <c r="AB15" s="421" t="str">
        <f>IF(AND('GA55 Check &amp; Edit'!AD17=""),"",'GA55 Check &amp; Edit'!AD17)</f>
        <v/>
      </c>
      <c r="AC15" s="422" t="str">
        <f>IF(AND('GA55 Check &amp; Edit'!AE17=""),"",'GA55 Check &amp; Edit'!AE17)</f>
        <v/>
      </c>
      <c r="AD15" s="1"/>
      <c r="AE15" s="1"/>
      <c r="AF15" s="1"/>
      <c r="AG15" s="36"/>
      <c r="AH15" s="1"/>
    </row>
    <row r="16" ht="21.75" customHeight="1">
      <c r="A16" s="418">
        <v>11.0</v>
      </c>
      <c r="B16" s="419">
        <f>IF(AND('GA55 Check &amp; Edit'!D18=""),"",'GA55 Check &amp; Edit'!D18)</f>
        <v>46023</v>
      </c>
      <c r="C16" s="421">
        <f>IF(AND('GA55 Check &amp; Edit'!E18=""),"",'GA55 Check &amp; Edit'!E18)</f>
        <v>39100</v>
      </c>
      <c r="D16" s="421">
        <f>IF(AND('GA55 Check &amp; Edit'!F18=""),"",'GA55 Check &amp; Edit'!F18)</f>
        <v>22678</v>
      </c>
      <c r="E16" s="421">
        <f>IF(AND('GA55 Check &amp; Edit'!G18=""),"",'GA55 Check &amp; Edit'!G18)</f>
        <v>3910</v>
      </c>
      <c r="F16" s="421" t="str">
        <f>IF(AND('GA55 Check &amp; Edit'!H18=""),"",'GA55 Check &amp; Edit'!H18)</f>
        <v/>
      </c>
      <c r="G16" s="421" t="str">
        <f>IF(AND('GA55 Check &amp; Edit'!I18=""),"",'GA55 Check &amp; Edit'!I18)</f>
        <v>0</v>
      </c>
      <c r="H16" s="421" t="str">
        <f>IF(AND('GA55 Check &amp; Edit'!J18=""),"",'GA55 Check &amp; Edit'!J18)</f>
        <v/>
      </c>
      <c r="I16" s="421" t="str">
        <f>IF(AND('GA55 Check &amp; Edit'!K18=""),"",'GA55 Check &amp; Edit'!K18)</f>
        <v/>
      </c>
      <c r="J16" s="421" t="str">
        <f>IF(AND('GA55 Check &amp; Edit'!L18=""),"",'GA55 Check &amp; Edit'!L18)</f>
        <v/>
      </c>
      <c r="K16" s="421" t="str">
        <f>IF(AND('GA55 Check &amp; Edit'!M18=""),"",'GA55 Check &amp; Edit'!M18)</f>
        <v/>
      </c>
      <c r="L16" s="421" t="str">
        <f>IF(AND('GA55 Check &amp; Edit'!N18=""),"",'GA55 Check &amp; Edit'!N18)</f>
        <v>0</v>
      </c>
      <c r="M16" s="421">
        <f>IF(AND('GA55 Check &amp; Edit'!O18=""),"",'GA55 Check &amp; Edit'!O18)</f>
        <v>65688</v>
      </c>
      <c r="N16" s="421" t="str">
        <f>IF(AND('GA55 Check &amp; Edit'!P18=""),"",'GA55 Check &amp; Edit'!P18)</f>
        <v/>
      </c>
      <c r="O16" s="421"/>
      <c r="P16" s="421"/>
      <c r="Q16" s="421">
        <f>IF(AND('GA55 Check &amp; Edit'!S18=""),"",'GA55 Check &amp; Edit'!S18)</f>
        <v>658</v>
      </c>
      <c r="R16" s="421">
        <f>IF(AND('GA55 Check &amp; Edit'!T18=""),"",'GA55 Check &amp; Edit'!T18)</f>
        <v>3000</v>
      </c>
      <c r="S16" s="421">
        <f>IF(AND('GA55 Check &amp; Edit'!U18=""),"",'GA55 Check &amp; Edit'!U18)</f>
        <v>2100</v>
      </c>
      <c r="T16" s="421" t="str">
        <f>IF(AND('GA55 Check &amp; Edit'!V18=""),"",'GA55 Check &amp; Edit'!V18)</f>
        <v/>
      </c>
      <c r="U16" s="421" t="str">
        <f>IF(AND('GA55 Check &amp; Edit'!W18=""),"",'GA55 Check &amp; Edit'!W18)</f>
        <v/>
      </c>
      <c r="V16" s="421" t="str">
        <f>IF(AND('GA55 Check &amp; Edit'!X18=""),"",'GA55 Check &amp; Edit'!X18)</f>
        <v/>
      </c>
      <c r="W16" s="421" t="str">
        <f>IF(AND('GA55 Check &amp; Edit'!Y18=""),"",'GA55 Check &amp; Edit'!Y18)</f>
        <v/>
      </c>
      <c r="X16" s="421">
        <f>IF(AND('GA55 Check &amp; Edit'!Z18=""),"",'GA55 Check &amp; Edit'!Z18)</f>
        <v>0</v>
      </c>
      <c r="Y16" s="421" t="str">
        <f>IF(AND('GA55 Check &amp; Edit'!AA18=""),"",'GA55 Check &amp; Edit'!AA18)</f>
        <v/>
      </c>
      <c r="Z16" s="421">
        <f>IF(AND('GA55 Check &amp; Edit'!AB18=""),"",'GA55 Check &amp; Edit'!AB18)</f>
        <v>8608</v>
      </c>
      <c r="AA16" s="421">
        <f>IF(AND('GA55 Check &amp; Edit'!AC18=""),"",'GA55 Check &amp; Edit'!AC18)</f>
        <v>57080</v>
      </c>
      <c r="AB16" s="421" t="str">
        <f>IF(AND('GA55 Check &amp; Edit'!AD18=""),"",'GA55 Check &amp; Edit'!AD18)</f>
        <v/>
      </c>
      <c r="AC16" s="422" t="str">
        <f>IF(AND('GA55 Check &amp; Edit'!AE18=""),"",'GA55 Check &amp; Edit'!AE18)</f>
        <v/>
      </c>
      <c r="AD16" s="1"/>
      <c r="AE16" s="1"/>
      <c r="AF16" s="1"/>
      <c r="AG16" s="36"/>
      <c r="AH16" s="1"/>
    </row>
    <row r="17" ht="21.75" customHeight="1">
      <c r="A17" s="418">
        <v>12.0</v>
      </c>
      <c r="B17" s="419">
        <f>IF(AND('GA55 Check &amp; Edit'!D19=""),"",'GA55 Check &amp; Edit'!D19)</f>
        <v>46054</v>
      </c>
      <c r="C17" s="420">
        <v>40300.0</v>
      </c>
      <c r="D17" s="421">
        <v>36598.0</v>
      </c>
      <c r="E17" s="421">
        <v>6310.0</v>
      </c>
      <c r="F17" s="421" t="str">
        <f>IF(AND('GA55 Check &amp; Edit'!H19=""),"",'GA55 Check &amp; Edit'!H19)</f>
        <v/>
      </c>
      <c r="G17" s="421" t="str">
        <f>IF(AND('GA55 Check &amp; Edit'!I19=""),"",'GA55 Check &amp; Edit'!I19)</f>
        <v>0</v>
      </c>
      <c r="H17" s="421" t="str">
        <f>IF(AND('GA55 Check &amp; Edit'!J19=""),"",'GA55 Check &amp; Edit'!J19)</f>
        <v/>
      </c>
      <c r="I17" s="421" t="str">
        <f>IF(AND('GA55 Check &amp; Edit'!K19=""),"",'GA55 Check &amp; Edit'!K19)</f>
        <v/>
      </c>
      <c r="J17" s="421" t="str">
        <f>IF(AND('GA55 Check &amp; Edit'!L19=""),"",'GA55 Check &amp; Edit'!L19)</f>
        <v/>
      </c>
      <c r="K17" s="421" t="str">
        <f>IF(AND('GA55 Check &amp; Edit'!M19=""),"",'GA55 Check &amp; Edit'!M19)</f>
        <v/>
      </c>
      <c r="L17" s="421" t="str">
        <f>IF(AND('GA55 Check &amp; Edit'!N19=""),"",'GA55 Check &amp; Edit'!N19)</f>
        <v>0</v>
      </c>
      <c r="M17" s="421">
        <v>106008.0</v>
      </c>
      <c r="N17" s="421" t="str">
        <f>IF(AND('GA55 Check &amp; Edit'!P19=""),"",'GA55 Check &amp; Edit'!P19)</f>
        <v/>
      </c>
      <c r="O17" s="421"/>
      <c r="P17" s="421"/>
      <c r="Q17" s="420">
        <v>658.0</v>
      </c>
      <c r="R17" s="421">
        <f>IF(AND('GA55 Check &amp; Edit'!T19=""),"",'GA55 Check &amp; Edit'!T19)</f>
        <v>3000</v>
      </c>
      <c r="S17" s="421" t="str">
        <f>IF(AND(#REF!=""),"",#REF!)</f>
        <v>#REF!</v>
      </c>
      <c r="T17" s="421" t="str">
        <f>IF(AND('GA55 Check &amp; Edit'!V19=""),"",'GA55 Check &amp; Edit'!V19)</f>
        <v/>
      </c>
      <c r="U17" s="421" t="str">
        <f>IF(AND('GA55 Check &amp; Edit'!W19=""),"",'GA55 Check &amp; Edit'!W19)</f>
        <v/>
      </c>
      <c r="V17" s="421" t="str">
        <f>IF(AND('GA55 Check &amp; Edit'!X19=""),"",'GA55 Check &amp; Edit'!X19)</f>
        <v/>
      </c>
      <c r="W17" s="421" t="str">
        <f>IF(AND('GA55 Check &amp; Edit'!Y19=""),"",'GA55 Check &amp; Edit'!Y19)</f>
        <v/>
      </c>
      <c r="X17" s="421">
        <f>IF(AND('GA55 Check &amp; Edit'!Z19=""),"",'GA55 Check &amp; Edit'!Z19)</f>
        <v>0</v>
      </c>
      <c r="Y17" s="421" t="str">
        <f>IF(AND('GA55 Check &amp; Edit'!AA19=""),"",'GA55 Check &amp; Edit'!AA19)</f>
        <v/>
      </c>
      <c r="Z17" s="421">
        <f>IF(AND('GA55 Check &amp; Edit'!AB19=""),"",'GA55 Check &amp; Edit'!AB19)</f>
        <v>8608</v>
      </c>
      <c r="AA17" s="421">
        <f>IF(AND('GA55 Check &amp; Edit'!AC19=""),"",'GA55 Check &amp; Edit'!AC19)</f>
        <v>57080</v>
      </c>
      <c r="AB17" s="421" t="str">
        <f>IF(AND('GA55 Check &amp; Edit'!AD19=""),"",'GA55 Check &amp; Edit'!AD19)</f>
        <v/>
      </c>
      <c r="AC17" s="422" t="str">
        <f>IF(AND('GA55 Check &amp; Edit'!AE19=""),"",'GA55 Check &amp; Edit'!AE19)</f>
        <v/>
      </c>
      <c r="AD17" s="1"/>
      <c r="AE17" s="1"/>
      <c r="AF17" s="1"/>
      <c r="AG17" s="36"/>
      <c r="AH17" s="1"/>
    </row>
    <row r="18" ht="21.75" customHeight="1">
      <c r="A18" s="418">
        <v>13.0</v>
      </c>
      <c r="B18" s="419" t="str">
        <f>IF(AND('GA55 Check &amp; Edit'!D20=""),"",'GA55 Check &amp; Edit'!D20)</f>
        <v>Bonus</v>
      </c>
      <c r="C18" s="421" t="str">
        <f>IF(AND('GA55 Check &amp; Edit'!E20=""),"",'GA55 Check &amp; Edit'!E20)</f>
        <v/>
      </c>
      <c r="D18" s="421">
        <v>6774.0</v>
      </c>
      <c r="E18" s="421" t="str">
        <f>IF(AND('GA55 Check &amp; Edit'!G20=""),"",'GA55 Check &amp; Edit'!G20)</f>
        <v/>
      </c>
      <c r="F18" s="421" t="str">
        <f>IF(AND('GA55 Check &amp; Edit'!H20=""),"",'GA55 Check &amp; Edit'!H20)</f>
        <v/>
      </c>
      <c r="G18" s="421" t="str">
        <f>IF(AND('GA55 Check &amp; Edit'!I20=""),"",'GA55 Check &amp; Edit'!I20)</f>
        <v/>
      </c>
      <c r="H18" s="421" t="str">
        <f>IF(AND('GA55 Check &amp; Edit'!J20=""),"",'GA55 Check &amp; Edit'!J20)</f>
        <v/>
      </c>
      <c r="I18" s="421" t="str">
        <f>IF(AND('GA55 Check &amp; Edit'!K20=""),"",'GA55 Check &amp; Edit'!K20)</f>
        <v/>
      </c>
      <c r="J18" s="421" t="str">
        <f>IF(AND('GA55 Check &amp; Edit'!L20=""),"",'GA55 Check &amp; Edit'!L20)</f>
        <v/>
      </c>
      <c r="K18" s="421" t="str">
        <f>IF(AND('GA55 Check &amp; Edit'!M20=""),"",'GA55 Check &amp; Edit'!M20)</f>
        <v/>
      </c>
      <c r="L18" s="421" t="str">
        <f>IF(AND('GA55 Check &amp; Edit'!N20=""),"",'GA55 Check &amp; Edit'!N20)</f>
        <v>0</v>
      </c>
      <c r="M18" s="421">
        <v>6774.0</v>
      </c>
      <c r="N18" s="421" t="str">
        <f>IF(AND('GA55 Check &amp; Edit'!P20=""),"",'GA55 Check &amp; Edit'!P20)</f>
        <v/>
      </c>
      <c r="O18" s="421">
        <v>1694.0</v>
      </c>
      <c r="P18" s="421" t="str">
        <f>IF(AND('GA55 Check &amp; Edit'!R20=""),"",'GA55 Check &amp; Edit'!R20)</f>
        <v/>
      </c>
      <c r="Q18" s="421" t="str">
        <f>IF(AND('GA55 Check &amp; Edit'!S20=""),"",'GA55 Check &amp; Edit'!S20)</f>
        <v/>
      </c>
      <c r="R18" s="421" t="str">
        <f>IF(AND('GA55 Check &amp; Edit'!T20=""),"",'GA55 Check &amp; Edit'!T20)</f>
        <v/>
      </c>
      <c r="S18" s="421" t="str">
        <f>IF(AND('GA55 Check &amp; Edit'!U20=""),"",'GA55 Check &amp; Edit'!U20)</f>
        <v/>
      </c>
      <c r="T18" s="421" t="str">
        <f>IF(AND('GA55 Check &amp; Edit'!V20=""),"",'GA55 Check &amp; Edit'!V20)</f>
        <v/>
      </c>
      <c r="U18" s="421" t="str">
        <f>IF(AND('GA55 Check &amp; Edit'!W20=""),"",'GA55 Check &amp; Edit'!W20)</f>
        <v/>
      </c>
      <c r="V18" s="421" t="str">
        <f>IF(AND('GA55 Check &amp; Edit'!X20=""),"",'GA55 Check &amp; Edit'!X20)</f>
        <v/>
      </c>
      <c r="W18" s="421" t="str">
        <f>IF(AND('GA55 Check &amp; Edit'!Y20=""),"",'GA55 Check &amp; Edit'!Y20)</f>
        <v/>
      </c>
      <c r="X18" s="421" t="str">
        <f>IF(AND('GA55 Check &amp; Edit'!Z20=""),"",'GA55 Check &amp; Edit'!Z20)</f>
        <v/>
      </c>
      <c r="Y18" s="421" t="str">
        <f>IF(AND('GA55 Check &amp; Edit'!AA20=""),"",'GA55 Check &amp; Edit'!AA20)</f>
        <v/>
      </c>
      <c r="Z18" s="421">
        <v>1694.0</v>
      </c>
      <c r="AA18" s="421">
        <v>5080.0</v>
      </c>
      <c r="AB18" s="421" t="str">
        <f>IF(AND('GA55 Check &amp; Edit'!AD20=""),"",'GA55 Check &amp; Edit'!AD20)</f>
        <v/>
      </c>
      <c r="AC18" s="422" t="str">
        <f>IF(AND('GA55 Check &amp; Edit'!AE20=""),"",'GA55 Check &amp; Edit'!AE20)</f>
        <v/>
      </c>
      <c r="AD18" s="1"/>
      <c r="AE18" s="1"/>
      <c r="AF18" s="1"/>
      <c r="AG18" s="36"/>
      <c r="AH18" s="1"/>
    </row>
    <row r="19" ht="21.75" customHeight="1">
      <c r="A19" s="418">
        <v>14.0</v>
      </c>
      <c r="B19" s="419" t="str">
        <f>IF(AND('GA55 Check &amp; Edit'!D21=""),"",'GA55 Check &amp; Edit'!D21)</f>
        <v>PL Surrender</v>
      </c>
      <c r="C19" s="421" t="str">
        <f>IF(AND('GA55 Check &amp; Edit'!E21=""),"",'GA55 Check &amp; Edit'!E21)</f>
        <v/>
      </c>
      <c r="D19" s="421" t="str">
        <f>IF(AND('GA55 Check &amp; Edit'!F21=""),"",'GA55 Check &amp; Edit'!F21)</f>
        <v/>
      </c>
      <c r="E19" s="421" t="str">
        <f>IF(AND('GA55 Check &amp; Edit'!G21=""),"",'GA55 Check &amp; Edit'!G21)</f>
        <v/>
      </c>
      <c r="F19" s="421" t="str">
        <f>IF(AND('GA55 Check &amp; Edit'!H21=""),"",'GA55 Check &amp; Edit'!H21)</f>
        <v/>
      </c>
      <c r="G19" s="421" t="str">
        <f>IF(AND('GA55 Check &amp; Edit'!I21=""),"",'GA55 Check &amp; Edit'!I21)</f>
        <v/>
      </c>
      <c r="H19" s="421" t="str">
        <f>IF(AND('GA55 Check &amp; Edit'!J21=""),"",'GA55 Check &amp; Edit'!J21)</f>
        <v/>
      </c>
      <c r="I19" s="421" t="str">
        <f>IF(AND('GA55 Check &amp; Edit'!K21=""),"",'GA55 Check &amp; Edit'!K21)</f>
        <v/>
      </c>
      <c r="J19" s="421" t="str">
        <f>IF(AND('GA55 Check &amp; Edit'!L21=""),"",'GA55 Check &amp; Edit'!L21)</f>
        <v/>
      </c>
      <c r="K19" s="421" t="str">
        <f>IF(AND('GA55 Check &amp; Edit'!M21=""),"",'GA55 Check &amp; Edit'!M21)</f>
        <v/>
      </c>
      <c r="L19" s="421" t="str">
        <f>IF(AND('GA55 Check &amp; Edit'!N21=""),"",'GA55 Check &amp; Edit'!N21)</f>
        <v>0</v>
      </c>
      <c r="M19" s="421">
        <f>IF(AND('GA55 Check &amp; Edit'!O21=""),"",'GA55 Check &amp; Edit'!O21)</f>
        <v>0</v>
      </c>
      <c r="N19" s="421" t="str">
        <f>IF(AND('GA55 Check &amp; Edit'!P21=""),"",'GA55 Check &amp; Edit'!P21)</f>
        <v/>
      </c>
      <c r="O19" s="421" t="str">
        <f>IF(AND('GA55 Check &amp; Edit'!Q21=""),"",'GA55 Check &amp; Edit'!Q21)</f>
        <v/>
      </c>
      <c r="P19" s="421" t="str">
        <f>IF(AND('GA55 Check &amp; Edit'!R21=""),"",'GA55 Check &amp; Edit'!R21)</f>
        <v/>
      </c>
      <c r="Q19" s="421" t="str">
        <f>IF(AND('GA55 Check &amp; Edit'!S21=""),"",'GA55 Check &amp; Edit'!S21)</f>
        <v/>
      </c>
      <c r="R19" s="421" t="str">
        <f>IF(AND('GA55 Check &amp; Edit'!T21=""),"",'GA55 Check &amp; Edit'!T21)</f>
        <v/>
      </c>
      <c r="S19" s="421" t="str">
        <f>IF(AND('GA55 Check &amp; Edit'!U21=""),"",'GA55 Check &amp; Edit'!U21)</f>
        <v/>
      </c>
      <c r="T19" s="421" t="str">
        <f>IF(AND('GA55 Check &amp; Edit'!V21=""),"",'GA55 Check &amp; Edit'!V21)</f>
        <v/>
      </c>
      <c r="U19" s="421" t="str">
        <f>IF(AND('GA55 Check &amp; Edit'!W21=""),"",'GA55 Check &amp; Edit'!W21)</f>
        <v/>
      </c>
      <c r="V19" s="421" t="str">
        <f>IF(AND('GA55 Check &amp; Edit'!X21=""),"",'GA55 Check &amp; Edit'!X21)</f>
        <v/>
      </c>
      <c r="W19" s="421" t="str">
        <f>IF(AND('GA55 Check &amp; Edit'!Y21=""),"",'GA55 Check &amp; Edit'!Y21)</f>
        <v/>
      </c>
      <c r="X19" s="421" t="str">
        <f>IF(AND('GA55 Check &amp; Edit'!Z21=""),"",'GA55 Check &amp; Edit'!Z21)</f>
        <v/>
      </c>
      <c r="Y19" s="421" t="str">
        <f>IF(AND('GA55 Check &amp; Edit'!AA21=""),"",'GA55 Check &amp; Edit'!AA21)</f>
        <v/>
      </c>
      <c r="Z19" s="421">
        <f>IF(AND('GA55 Check &amp; Edit'!AB21=""),"",'GA55 Check &amp; Edit'!AB21)</f>
        <v>0</v>
      </c>
      <c r="AA19" s="421">
        <f>IF(AND('GA55 Check &amp; Edit'!AC21=""),"",'GA55 Check &amp; Edit'!AC21)</f>
        <v>0</v>
      </c>
      <c r="AB19" s="421" t="str">
        <f>IF(AND('GA55 Check &amp; Edit'!AD21=""),"",'GA55 Check &amp; Edit'!AD21)</f>
        <v/>
      </c>
      <c r="AC19" s="422" t="str">
        <f>IF(AND('GA55 Check &amp; Edit'!AE21=""),"",'GA55 Check &amp; Edit'!AE21)</f>
        <v/>
      </c>
      <c r="AD19" s="1"/>
      <c r="AE19" s="1"/>
      <c r="AF19" s="1"/>
      <c r="AG19" s="36"/>
      <c r="AH19" s="1"/>
    </row>
    <row r="20" ht="21.75" customHeight="1">
      <c r="A20" s="418">
        <v>15.0</v>
      </c>
      <c r="B20" s="419" t="str">
        <f>IF(AND('GA55 Check &amp; Edit'!D22=""),"",'GA55 Check &amp; Edit'!D22)</f>
        <v>DA Arrear 53 to 55%</v>
      </c>
      <c r="C20" s="421" t="str">
        <f>IF(AND('GA55 Check &amp; Edit'!E22=""),"",'GA55 Check &amp; Edit'!E22)</f>
        <v/>
      </c>
      <c r="D20" s="421">
        <f>IF(AND('GA55 Check &amp; Edit'!F22=""),"",'GA55 Check &amp; Edit'!F22)</f>
        <v>2280</v>
      </c>
      <c r="E20" s="421" t="str">
        <f>IF(AND('GA55 Check &amp; Edit'!G22=""),"",'GA55 Check &amp; Edit'!G22)</f>
        <v/>
      </c>
      <c r="F20" s="421" t="str">
        <f>IF(AND('GA55 Check &amp; Edit'!H22=""),"",'GA55 Check &amp; Edit'!H22)</f>
        <v/>
      </c>
      <c r="G20" s="421" t="str">
        <f>IF(AND('GA55 Check &amp; Edit'!I22=""),"",'GA55 Check &amp; Edit'!I22)</f>
        <v/>
      </c>
      <c r="H20" s="421" t="str">
        <f>IF(AND('GA55 Check &amp; Edit'!J22=""),"",'GA55 Check &amp; Edit'!J22)</f>
        <v/>
      </c>
      <c r="I20" s="421" t="str">
        <f>IF(AND('GA55 Check &amp; Edit'!K22=""),"",'GA55 Check &amp; Edit'!K22)</f>
        <v/>
      </c>
      <c r="J20" s="421" t="str">
        <f>IF(AND('GA55 Check &amp; Edit'!L22=""),"",'GA55 Check &amp; Edit'!L22)</f>
        <v/>
      </c>
      <c r="K20" s="421" t="str">
        <f>IF(AND('GA55 Check &amp; Edit'!M22=""),"",'GA55 Check &amp; Edit'!M22)</f>
        <v/>
      </c>
      <c r="L20" s="421" t="str">
        <f>IF(AND('GA55 Check &amp; Edit'!N22=""),"",'GA55 Check &amp; Edit'!N22)</f>
        <v>0</v>
      </c>
      <c r="M20" s="421">
        <f>IF(AND('GA55 Check &amp; Edit'!O22=""),"",'GA55 Check &amp; Edit'!O22)</f>
        <v>2280</v>
      </c>
      <c r="N20" s="421" t="str">
        <f>IF(AND('GA55 Check &amp; Edit'!P22=""),"",'GA55 Check &amp; Edit'!P22)</f>
        <v/>
      </c>
      <c r="O20" s="421">
        <f>IF(AND('GA55 Check &amp; Edit'!Q22=""),"",'GA55 Check &amp; Edit'!Q22)</f>
        <v>2280</v>
      </c>
      <c r="P20" s="421" t="str">
        <f>IF(AND('GA55 Check &amp; Edit'!R22=""),"",'GA55 Check &amp; Edit'!R22)</f>
        <v/>
      </c>
      <c r="Q20" s="421" t="str">
        <f>IF(AND('GA55 Check &amp; Edit'!S22=""),"",'GA55 Check &amp; Edit'!S22)</f>
        <v/>
      </c>
      <c r="R20" s="421" t="str">
        <f>IF(AND('GA55 Check &amp; Edit'!T22=""),"",'GA55 Check &amp; Edit'!T22)</f>
        <v/>
      </c>
      <c r="S20" s="421" t="str">
        <f>IF(AND('GA55 Check &amp; Edit'!U22=""),"",'GA55 Check &amp; Edit'!U22)</f>
        <v/>
      </c>
      <c r="T20" s="421" t="str">
        <f>IF(AND('GA55 Check &amp; Edit'!V22=""),"",'GA55 Check &amp; Edit'!V22)</f>
        <v/>
      </c>
      <c r="U20" s="421" t="str">
        <f>IF(AND('GA55 Check &amp; Edit'!W22=""),"",'GA55 Check &amp; Edit'!W22)</f>
        <v/>
      </c>
      <c r="V20" s="421" t="str">
        <f>IF(AND('GA55 Check &amp; Edit'!X22=""),"",'GA55 Check &amp; Edit'!X22)</f>
        <v/>
      </c>
      <c r="W20" s="421" t="str">
        <f>IF(AND('GA55 Check &amp; Edit'!Y22=""),"",'GA55 Check &amp; Edit'!Y22)</f>
        <v/>
      </c>
      <c r="X20" s="421" t="str">
        <f>IF(AND('GA55 Check &amp; Edit'!Z22=""),"",'GA55 Check &amp; Edit'!Z22)</f>
        <v/>
      </c>
      <c r="Y20" s="421" t="str">
        <f>IF(AND('GA55 Check &amp; Edit'!AA22=""),"",'GA55 Check &amp; Edit'!AA22)</f>
        <v/>
      </c>
      <c r="Z20" s="421">
        <f>IF(AND('GA55 Check &amp; Edit'!AB22=""),"",'GA55 Check &amp; Edit'!AB22)</f>
        <v>2280</v>
      </c>
      <c r="AA20" s="421">
        <f>IF(AND('GA55 Check &amp; Edit'!AC22=""),"",'GA55 Check &amp; Edit'!AC22)</f>
        <v>0</v>
      </c>
      <c r="AB20" s="421" t="str">
        <f>IF(AND('GA55 Check &amp; Edit'!AD22=""),"",'GA55 Check &amp; Edit'!AD22)</f>
        <v/>
      </c>
      <c r="AC20" s="422" t="str">
        <f>IF(AND('GA55 Check &amp; Edit'!AE22=""),"",'GA55 Check &amp; Edit'!AE22)</f>
        <v/>
      </c>
      <c r="AD20" s="1"/>
      <c r="AE20" s="1"/>
      <c r="AF20" s="1"/>
      <c r="AG20" s="36"/>
      <c r="AH20" s="1"/>
    </row>
    <row r="21" ht="21.75" customHeight="1">
      <c r="A21" s="418">
        <v>16.0</v>
      </c>
      <c r="B21" s="419" t="str">
        <f>IF(AND('GA55 Check &amp; Edit'!D23=""),"",'GA55 Check &amp; Edit'!D23)</f>
        <v>DA Arrear 55% to 58%</v>
      </c>
      <c r="C21" s="421" t="str">
        <f>IF(AND('GA55 Check &amp; Edit'!E23=""),"",'GA55 Check &amp; Edit'!E23)</f>
        <v/>
      </c>
      <c r="D21" s="421">
        <f>IF(AND('GA55 Check &amp; Edit'!F23=""),"",'GA55 Check &amp; Edit'!F23)</f>
        <v>3519</v>
      </c>
      <c r="E21" s="421" t="str">
        <f>IF(AND('GA55 Check &amp; Edit'!G23=""),"",'GA55 Check &amp; Edit'!G23)</f>
        <v/>
      </c>
      <c r="F21" s="421" t="str">
        <f>IF(AND('GA55 Check &amp; Edit'!H23=""),"",'GA55 Check &amp; Edit'!H23)</f>
        <v/>
      </c>
      <c r="G21" s="421" t="str">
        <f>IF(AND('GA55 Check &amp; Edit'!I23=""),"",'GA55 Check &amp; Edit'!I23)</f>
        <v/>
      </c>
      <c r="H21" s="421" t="str">
        <f>IF(AND('GA55 Check &amp; Edit'!J23=""),"",'GA55 Check &amp; Edit'!J23)</f>
        <v/>
      </c>
      <c r="I21" s="421" t="str">
        <f>IF(AND('GA55 Check &amp; Edit'!K23=""),"",'GA55 Check &amp; Edit'!K23)</f>
        <v/>
      </c>
      <c r="J21" s="421" t="str">
        <f>IF(AND('GA55 Check &amp; Edit'!L23=""),"",'GA55 Check &amp; Edit'!L23)</f>
        <v/>
      </c>
      <c r="K21" s="421" t="str">
        <f>IF(AND('GA55 Check &amp; Edit'!M23=""),"",'GA55 Check &amp; Edit'!M23)</f>
        <v/>
      </c>
      <c r="L21" s="421" t="str">
        <f>IF(AND('GA55 Check &amp; Edit'!N23=""),"",'GA55 Check &amp; Edit'!N23)</f>
        <v>0</v>
      </c>
      <c r="M21" s="421">
        <f>IF(AND('GA55 Check &amp; Edit'!O23=""),"",'GA55 Check &amp; Edit'!O23)</f>
        <v>3519</v>
      </c>
      <c r="N21" s="421" t="str">
        <f>IF(AND('GA55 Check &amp; Edit'!P23=""),"",'GA55 Check &amp; Edit'!P23)</f>
        <v/>
      </c>
      <c r="O21" s="421">
        <f>IF(AND('GA55 Check &amp; Edit'!Q23=""),"",'GA55 Check &amp; Edit'!Q23)</f>
        <v>3519</v>
      </c>
      <c r="P21" s="421" t="str">
        <f>IF(AND('GA55 Check &amp; Edit'!R23=""),"",'GA55 Check &amp; Edit'!R23)</f>
        <v/>
      </c>
      <c r="Q21" s="421" t="str">
        <f>IF(AND('GA55 Check &amp; Edit'!S23=""),"",'GA55 Check &amp; Edit'!S23)</f>
        <v/>
      </c>
      <c r="R21" s="421" t="str">
        <f>IF(AND('GA55 Check &amp; Edit'!T23=""),"",'GA55 Check &amp; Edit'!T23)</f>
        <v/>
      </c>
      <c r="S21" s="421" t="str">
        <f>IF(AND('GA55 Check &amp; Edit'!U23=""),"",'GA55 Check &amp; Edit'!U23)</f>
        <v/>
      </c>
      <c r="T21" s="421" t="str">
        <f>IF(AND('GA55 Check &amp; Edit'!V23=""),"",'GA55 Check &amp; Edit'!V23)</f>
        <v/>
      </c>
      <c r="U21" s="421" t="str">
        <f>IF(AND('GA55 Check &amp; Edit'!W23=""),"",'GA55 Check &amp; Edit'!W23)</f>
        <v/>
      </c>
      <c r="V21" s="421" t="str">
        <f>IF(AND('GA55 Check &amp; Edit'!X23=""),"",'GA55 Check &amp; Edit'!X23)</f>
        <v/>
      </c>
      <c r="W21" s="421" t="str">
        <f>IF(AND('GA55 Check &amp; Edit'!Y23=""),"",'GA55 Check &amp; Edit'!Y23)</f>
        <v/>
      </c>
      <c r="X21" s="421" t="str">
        <f>IF(AND('GA55 Check &amp; Edit'!Z23=""),"",'GA55 Check &amp; Edit'!Z23)</f>
        <v/>
      </c>
      <c r="Y21" s="421" t="str">
        <f>IF(AND('GA55 Check &amp; Edit'!AA23=""),"",'GA55 Check &amp; Edit'!AA23)</f>
        <v/>
      </c>
      <c r="Z21" s="421">
        <f>IF(AND('GA55 Check &amp; Edit'!AB23=""),"",'GA55 Check &amp; Edit'!AB23)</f>
        <v>3519</v>
      </c>
      <c r="AA21" s="421">
        <f>IF(AND('GA55 Check &amp; Edit'!AC23=""),"",'GA55 Check &amp; Edit'!AC23)</f>
        <v>0</v>
      </c>
      <c r="AB21" s="421" t="str">
        <f>IF(AND('GA55 Check &amp; Edit'!AD23=""),"",'GA55 Check &amp; Edit'!AD23)</f>
        <v/>
      </c>
      <c r="AC21" s="422" t="str">
        <f>IF(AND('GA55 Check &amp; Edit'!AE23=""),"",'GA55 Check &amp; Edit'!AE23)</f>
        <v/>
      </c>
      <c r="AD21" s="1"/>
      <c r="AE21" s="1"/>
      <c r="AF21" s="1"/>
      <c r="AG21" s="36"/>
      <c r="AH21" s="1"/>
    </row>
    <row r="22" ht="21.75" customHeight="1">
      <c r="A22" s="418">
        <v>17.0</v>
      </c>
      <c r="B22" s="419" t="str">
        <f>IF(AND('GA55 Check &amp; Edit'!D24=""),"",'GA55 Check &amp; Edit'!D24)</f>
        <v>ACP/MACP Arrear</v>
      </c>
      <c r="C22" s="421" t="str">
        <f>IF(AND('GA55 Check &amp; Edit'!E24=""),"",'GA55 Check &amp; Edit'!E24)</f>
        <v/>
      </c>
      <c r="D22" s="421" t="str">
        <f>IF(AND('GA55 Check &amp; Edit'!F24=""),"",'GA55 Check &amp; Edit'!F24)</f>
        <v/>
      </c>
      <c r="E22" s="421" t="str">
        <f>IF(AND('GA55 Check &amp; Edit'!G24=""),"",'GA55 Check &amp; Edit'!G24)</f>
        <v/>
      </c>
      <c r="F22" s="421" t="str">
        <f>IF(AND('GA55 Check &amp; Edit'!H24=""),"",'GA55 Check &amp; Edit'!H24)</f>
        <v/>
      </c>
      <c r="G22" s="421" t="str">
        <f>IF(AND('GA55 Check &amp; Edit'!I24=""),"",'GA55 Check &amp; Edit'!I24)</f>
        <v/>
      </c>
      <c r="H22" s="421" t="str">
        <f>IF(AND('GA55 Check &amp; Edit'!J24=""),"",'GA55 Check &amp; Edit'!J24)</f>
        <v/>
      </c>
      <c r="I22" s="421" t="str">
        <f>IF(AND('GA55 Check &amp; Edit'!K24=""),"",'GA55 Check &amp; Edit'!K24)</f>
        <v/>
      </c>
      <c r="J22" s="421" t="str">
        <f>IF(AND('GA55 Check &amp; Edit'!L24=""),"",'GA55 Check &amp; Edit'!L24)</f>
        <v/>
      </c>
      <c r="K22" s="421" t="str">
        <f>IF(AND('GA55 Check &amp; Edit'!M24=""),"",'GA55 Check &amp; Edit'!M24)</f>
        <v/>
      </c>
      <c r="L22" s="421" t="str">
        <f>IF(AND('GA55 Check &amp; Edit'!N24=""),"",'GA55 Check &amp; Edit'!N24)</f>
        <v>0</v>
      </c>
      <c r="M22" s="421">
        <f>IF(AND('GA55 Check &amp; Edit'!O24=""),"",'GA55 Check &amp; Edit'!O24)</f>
        <v>0</v>
      </c>
      <c r="N22" s="421" t="str">
        <f>IF(AND('GA55 Check &amp; Edit'!P24=""),"",'GA55 Check &amp; Edit'!P24)</f>
        <v/>
      </c>
      <c r="O22" s="421" t="str">
        <f>IF(AND('GA55 Check &amp; Edit'!Q24=""),"",'GA55 Check &amp; Edit'!Q24)</f>
        <v/>
      </c>
      <c r="P22" s="421" t="str">
        <f>IF(AND('GA55 Check &amp; Edit'!R24=""),"",'GA55 Check &amp; Edit'!R24)</f>
        <v/>
      </c>
      <c r="Q22" s="421" t="str">
        <f>IF(AND('GA55 Check &amp; Edit'!S24=""),"",'GA55 Check &amp; Edit'!S24)</f>
        <v/>
      </c>
      <c r="R22" s="421" t="str">
        <f>IF(AND('GA55 Check &amp; Edit'!T24=""),"",'GA55 Check &amp; Edit'!T24)</f>
        <v/>
      </c>
      <c r="S22" s="421" t="str">
        <f>IF(AND('GA55 Check &amp; Edit'!U24=""),"",'GA55 Check &amp; Edit'!U24)</f>
        <v/>
      </c>
      <c r="T22" s="421" t="str">
        <f>IF(AND('GA55 Check &amp; Edit'!V24=""),"",'GA55 Check &amp; Edit'!V24)</f>
        <v/>
      </c>
      <c r="U22" s="421" t="str">
        <f>IF(AND('GA55 Check &amp; Edit'!W24=""),"",'GA55 Check &amp; Edit'!W24)</f>
        <v/>
      </c>
      <c r="V22" s="421" t="str">
        <f>IF(AND('GA55 Check &amp; Edit'!X24=""),"",'GA55 Check &amp; Edit'!X24)</f>
        <v/>
      </c>
      <c r="W22" s="421" t="str">
        <f>IF(AND('GA55 Check &amp; Edit'!Y24=""),"",'GA55 Check &amp; Edit'!Y24)</f>
        <v/>
      </c>
      <c r="X22" s="421" t="str">
        <f>IF(AND('GA55 Check &amp; Edit'!Z24=""),"",'GA55 Check &amp; Edit'!Z24)</f>
        <v/>
      </c>
      <c r="Y22" s="421" t="str">
        <f>IF(AND('GA55 Check &amp; Edit'!AA24=""),"",'GA55 Check &amp; Edit'!AA24)</f>
        <v/>
      </c>
      <c r="Z22" s="421">
        <f>IF(AND('GA55 Check &amp; Edit'!AB24=""),"",'GA55 Check &amp; Edit'!AB24)</f>
        <v>0</v>
      </c>
      <c r="AA22" s="421">
        <f>IF(AND('GA55 Check &amp; Edit'!AC24=""),"",'GA55 Check &amp; Edit'!AC24)</f>
        <v>0</v>
      </c>
      <c r="AB22" s="421" t="str">
        <f>IF(AND('GA55 Check &amp; Edit'!AD24=""),"",'GA55 Check &amp; Edit'!AD24)</f>
        <v/>
      </c>
      <c r="AC22" s="422" t="str">
        <f>IF(AND('GA55 Check &amp; Edit'!AE24=""),"",'GA55 Check &amp; Edit'!AE24)</f>
        <v/>
      </c>
      <c r="AD22" s="1"/>
      <c r="AE22" s="1"/>
      <c r="AF22" s="1"/>
      <c r="AG22" s="36"/>
      <c r="AH22" s="1"/>
    </row>
    <row r="23" ht="21.75" customHeight="1">
      <c r="A23" s="418">
        <v>18.0</v>
      </c>
      <c r="B23" s="419" t="str">
        <f>IF(AND('GA55 Check &amp; Edit'!D25=""),"",'GA55 Check &amp; Edit'!D25)</f>
        <v>PL Surrender Arrear</v>
      </c>
      <c r="C23" s="421" t="str">
        <f>IF(AND('GA55 Check &amp; Edit'!E25=""),"",'GA55 Check &amp; Edit'!E25)</f>
        <v/>
      </c>
      <c r="D23" s="421" t="str">
        <f>IF(AND('GA55 Check &amp; Edit'!F25=""),"",'GA55 Check &amp; Edit'!F25)</f>
        <v/>
      </c>
      <c r="E23" s="421" t="str">
        <f>IF(AND('GA55 Check &amp; Edit'!G25=""),"",'GA55 Check &amp; Edit'!G25)</f>
        <v/>
      </c>
      <c r="F23" s="421" t="str">
        <f>IF(AND('GA55 Check &amp; Edit'!H25=""),"",'GA55 Check &amp; Edit'!H25)</f>
        <v/>
      </c>
      <c r="G23" s="421" t="str">
        <f>IF(AND('GA55 Check &amp; Edit'!I25=""),"",'GA55 Check &amp; Edit'!I25)</f>
        <v/>
      </c>
      <c r="H23" s="421" t="str">
        <f>IF(AND('GA55 Check &amp; Edit'!J25=""),"",'GA55 Check &amp; Edit'!J25)</f>
        <v/>
      </c>
      <c r="I23" s="421" t="str">
        <f>IF(AND('GA55 Check &amp; Edit'!K25=""),"",'GA55 Check &amp; Edit'!K25)</f>
        <v/>
      </c>
      <c r="J23" s="421" t="str">
        <f>IF(AND('GA55 Check &amp; Edit'!L25=""),"",'GA55 Check &amp; Edit'!L25)</f>
        <v/>
      </c>
      <c r="K23" s="421" t="str">
        <f>IF(AND('GA55 Check &amp; Edit'!M25=""),"",'GA55 Check &amp; Edit'!M25)</f>
        <v/>
      </c>
      <c r="L23" s="421" t="str">
        <f>IF(AND('GA55 Check &amp; Edit'!N25=""),"",'GA55 Check &amp; Edit'!N25)</f>
        <v>0</v>
      </c>
      <c r="M23" s="421">
        <f>IF(AND('GA55 Check &amp; Edit'!O25=""),"",'GA55 Check &amp; Edit'!O25)</f>
        <v>0</v>
      </c>
      <c r="N23" s="421" t="str">
        <f>IF(AND('GA55 Check &amp; Edit'!P25=""),"",'GA55 Check &amp; Edit'!P25)</f>
        <v/>
      </c>
      <c r="O23" s="421" t="str">
        <f>IF(AND('GA55 Check &amp; Edit'!Q25=""),"",'GA55 Check &amp; Edit'!Q25)</f>
        <v/>
      </c>
      <c r="P23" s="421" t="str">
        <f>IF(AND('GA55 Check &amp; Edit'!R25=""),"",'GA55 Check &amp; Edit'!R25)</f>
        <v/>
      </c>
      <c r="Q23" s="421" t="str">
        <f>IF(AND('GA55 Check &amp; Edit'!S25=""),"",'GA55 Check &amp; Edit'!S25)</f>
        <v/>
      </c>
      <c r="R23" s="421" t="str">
        <f>IF(AND('GA55 Check &amp; Edit'!T25=""),"",'GA55 Check &amp; Edit'!T25)</f>
        <v/>
      </c>
      <c r="S23" s="421" t="str">
        <f>IF(AND('GA55 Check &amp; Edit'!U25=""),"",'GA55 Check &amp; Edit'!U25)</f>
        <v/>
      </c>
      <c r="T23" s="421" t="str">
        <f>IF(AND('GA55 Check &amp; Edit'!V25=""),"",'GA55 Check &amp; Edit'!V25)</f>
        <v/>
      </c>
      <c r="U23" s="421" t="str">
        <f>IF(AND('GA55 Check &amp; Edit'!W25=""),"",'GA55 Check &amp; Edit'!W25)</f>
        <v/>
      </c>
      <c r="V23" s="421" t="str">
        <f>IF(AND('GA55 Check &amp; Edit'!X25=""),"",'GA55 Check &amp; Edit'!X25)</f>
        <v/>
      </c>
      <c r="W23" s="421" t="str">
        <f>IF(AND('GA55 Check &amp; Edit'!Y25=""),"",'GA55 Check &amp; Edit'!Y25)</f>
        <v/>
      </c>
      <c r="X23" s="421" t="str">
        <f>IF(AND('GA55 Check &amp; Edit'!Z25=""),"",'GA55 Check &amp; Edit'!Z25)</f>
        <v/>
      </c>
      <c r="Y23" s="421" t="str">
        <f>IF(AND('GA55 Check &amp; Edit'!AA25=""),"",'GA55 Check &amp; Edit'!AA25)</f>
        <v/>
      </c>
      <c r="Z23" s="421">
        <f>IF(AND('GA55 Check &amp; Edit'!AB25=""),"",'GA55 Check &amp; Edit'!AB25)</f>
        <v>0</v>
      </c>
      <c r="AA23" s="421">
        <f>IF(AND('GA55 Check &amp; Edit'!AC25=""),"",'GA55 Check &amp; Edit'!AC25)</f>
        <v>0</v>
      </c>
      <c r="AB23" s="421" t="str">
        <f>IF(AND('GA55 Check &amp; Edit'!AD25=""),"",'GA55 Check &amp; Edit'!AD25)</f>
        <v/>
      </c>
      <c r="AC23" s="422" t="str">
        <f>IF(AND('GA55 Check &amp; Edit'!AE25=""),"",'GA55 Check &amp; Edit'!AE25)</f>
        <v/>
      </c>
      <c r="AD23" s="1"/>
      <c r="AE23" s="1"/>
      <c r="AF23" s="1"/>
      <c r="AG23" s="36"/>
      <c r="AH23" s="1"/>
    </row>
    <row r="24" ht="21.75" customHeight="1">
      <c r="A24" s="418">
        <v>19.0</v>
      </c>
      <c r="B24" s="419" t="str">
        <f>IF(AND('GA55 Check &amp; Edit'!D26=""),"",'GA55 Check &amp; Edit'!D26)</f>
        <v>Fixation arrear</v>
      </c>
      <c r="C24" s="421" t="str">
        <f>IF(AND('GA55 Check &amp; Edit'!E26=""),"",'GA55 Check &amp; Edit'!E26)</f>
        <v/>
      </c>
      <c r="D24" s="421" t="str">
        <f>IF(AND('GA55 Check &amp; Edit'!F26=""),"",'GA55 Check &amp; Edit'!F26)</f>
        <v/>
      </c>
      <c r="E24" s="421" t="str">
        <f>IF(AND('GA55 Check &amp; Edit'!G26=""),"",'GA55 Check &amp; Edit'!G26)</f>
        <v/>
      </c>
      <c r="F24" s="421" t="str">
        <f>IF(AND('GA55 Check &amp; Edit'!H26=""),"",'GA55 Check &amp; Edit'!H26)</f>
        <v/>
      </c>
      <c r="G24" s="421" t="str">
        <f>IF(AND('GA55 Check &amp; Edit'!I26=""),"",'GA55 Check &amp; Edit'!I26)</f>
        <v/>
      </c>
      <c r="H24" s="421" t="str">
        <f>IF(AND('GA55 Check &amp; Edit'!J26=""),"",'GA55 Check &amp; Edit'!J26)</f>
        <v/>
      </c>
      <c r="I24" s="421" t="str">
        <f>IF(AND('GA55 Check &amp; Edit'!K26=""),"",'GA55 Check &amp; Edit'!K26)</f>
        <v/>
      </c>
      <c r="J24" s="421" t="str">
        <f>IF(AND('GA55 Check &amp; Edit'!L26=""),"",'GA55 Check &amp; Edit'!L26)</f>
        <v/>
      </c>
      <c r="K24" s="421" t="str">
        <f>IF(AND('GA55 Check &amp; Edit'!M26=""),"",'GA55 Check &amp; Edit'!M26)</f>
        <v/>
      </c>
      <c r="L24" s="421" t="str">
        <f>IF(AND('GA55 Check &amp; Edit'!N26=""),"",'GA55 Check &amp; Edit'!N26)</f>
        <v>0</v>
      </c>
      <c r="M24" s="421">
        <f>IF(AND('GA55 Check &amp; Edit'!O26=""),"",'GA55 Check &amp; Edit'!O26)</f>
        <v>0</v>
      </c>
      <c r="N24" s="421" t="str">
        <f>IF(AND('GA55 Check &amp; Edit'!P26=""),"",'GA55 Check &amp; Edit'!P26)</f>
        <v/>
      </c>
      <c r="O24" s="421" t="str">
        <f>IF(AND('GA55 Check &amp; Edit'!Q26=""),"",'GA55 Check &amp; Edit'!Q26)</f>
        <v/>
      </c>
      <c r="P24" s="421" t="str">
        <f>IF(AND('GA55 Check &amp; Edit'!R26=""),"",'GA55 Check &amp; Edit'!R26)</f>
        <v/>
      </c>
      <c r="Q24" s="421" t="str">
        <f>IF(AND('GA55 Check &amp; Edit'!S26=""),"",'GA55 Check &amp; Edit'!S26)</f>
        <v/>
      </c>
      <c r="R24" s="421" t="str">
        <f>IF(AND('GA55 Check &amp; Edit'!T26=""),"",'GA55 Check &amp; Edit'!T26)</f>
        <v/>
      </c>
      <c r="S24" s="421" t="str">
        <f>IF(AND('GA55 Check &amp; Edit'!U26=""),"",'GA55 Check &amp; Edit'!U26)</f>
        <v/>
      </c>
      <c r="T24" s="421" t="str">
        <f>IF(AND('GA55 Check &amp; Edit'!V26=""),"",'GA55 Check &amp; Edit'!V26)</f>
        <v/>
      </c>
      <c r="U24" s="421" t="str">
        <f>IF(AND('GA55 Check &amp; Edit'!W26=""),"",'GA55 Check &amp; Edit'!W26)</f>
        <v/>
      </c>
      <c r="V24" s="421" t="str">
        <f>IF(AND('GA55 Check &amp; Edit'!X26=""),"",'GA55 Check &amp; Edit'!X26)</f>
        <v/>
      </c>
      <c r="W24" s="421" t="str">
        <f>IF(AND('GA55 Check &amp; Edit'!Y26=""),"",'GA55 Check &amp; Edit'!Y26)</f>
        <v/>
      </c>
      <c r="X24" s="421" t="str">
        <f>IF(AND('GA55 Check &amp; Edit'!Z26=""),"",'GA55 Check &amp; Edit'!Z26)</f>
        <v/>
      </c>
      <c r="Y24" s="421" t="str">
        <f>IF(AND('GA55 Check &amp; Edit'!AA26=""),"",'GA55 Check &amp; Edit'!AA26)</f>
        <v/>
      </c>
      <c r="Z24" s="421">
        <f>IF(AND('GA55 Check &amp; Edit'!AB26=""),"",'GA55 Check &amp; Edit'!AB26)</f>
        <v>0</v>
      </c>
      <c r="AA24" s="421">
        <f>IF(AND('GA55 Check &amp; Edit'!AC26=""),"",'GA55 Check &amp; Edit'!AC26)</f>
        <v>0</v>
      </c>
      <c r="AB24" s="421" t="str">
        <f>IF(AND('GA55 Check &amp; Edit'!AD26=""),"",'GA55 Check &amp; Edit'!AD26)</f>
        <v/>
      </c>
      <c r="AC24" s="422" t="str">
        <f>IF(AND('GA55 Check &amp; Edit'!AE26=""),"",'GA55 Check &amp; Edit'!AE26)</f>
        <v/>
      </c>
      <c r="AD24" s="1"/>
      <c r="AE24" s="1"/>
      <c r="AF24" s="1"/>
      <c r="AG24" s="36"/>
      <c r="AH24" s="1"/>
    </row>
    <row r="25" ht="21.75" customHeight="1">
      <c r="A25" s="418">
        <v>20.0</v>
      </c>
      <c r="B25" s="419" t="str">
        <f>IF(AND('GA55 Check &amp; Edit'!D27=""),"",'GA55 Check &amp; Edit'!D27)</f>
        <v/>
      </c>
      <c r="C25" s="421" t="str">
        <f>IF(AND('GA55 Check &amp; Edit'!E27=""),"",'GA55 Check &amp; Edit'!E27)</f>
        <v/>
      </c>
      <c r="D25" s="421" t="str">
        <f>IF(AND('GA55 Check &amp; Edit'!F27=""),"",'GA55 Check &amp; Edit'!F27)</f>
        <v/>
      </c>
      <c r="E25" s="421" t="str">
        <f>IF(AND('GA55 Check &amp; Edit'!G27=""),"",'GA55 Check &amp; Edit'!G27)</f>
        <v/>
      </c>
      <c r="F25" s="421" t="str">
        <f>IF(AND('GA55 Check &amp; Edit'!H27=""),"",'GA55 Check &amp; Edit'!H27)</f>
        <v/>
      </c>
      <c r="G25" s="421" t="str">
        <f>IF(AND('GA55 Check &amp; Edit'!I27=""),"",'GA55 Check &amp; Edit'!I27)</f>
        <v/>
      </c>
      <c r="H25" s="421" t="str">
        <f>IF(AND('GA55 Check &amp; Edit'!J27=""),"",'GA55 Check &amp; Edit'!J27)</f>
        <v/>
      </c>
      <c r="I25" s="421" t="str">
        <f>IF(AND('GA55 Check &amp; Edit'!K27=""),"",'GA55 Check &amp; Edit'!K27)</f>
        <v/>
      </c>
      <c r="J25" s="421" t="str">
        <f>IF(AND('GA55 Check &amp; Edit'!L27=""),"",'GA55 Check &amp; Edit'!L27)</f>
        <v/>
      </c>
      <c r="K25" s="421" t="str">
        <f>IF(AND('GA55 Check &amp; Edit'!M27=""),"",'GA55 Check &amp; Edit'!M27)</f>
        <v/>
      </c>
      <c r="L25" s="421" t="str">
        <f>IF(AND('GA55 Check &amp; Edit'!N27=""),"",'GA55 Check &amp; Edit'!N27)</f>
        <v/>
      </c>
      <c r="M25" s="421" t="str">
        <f>IF(AND('GA55 Check &amp; Edit'!O27=""),"",'GA55 Check &amp; Edit'!O27)</f>
        <v/>
      </c>
      <c r="N25" s="421" t="str">
        <f>IF(AND('GA55 Check &amp; Edit'!P27=""),"",'GA55 Check &amp; Edit'!P27)</f>
        <v/>
      </c>
      <c r="O25" s="421" t="str">
        <f>IF(AND('GA55 Check &amp; Edit'!Q27=""),"",'GA55 Check &amp; Edit'!Q27)</f>
        <v/>
      </c>
      <c r="P25" s="421" t="str">
        <f>IF(AND('GA55 Check &amp; Edit'!R27=""),"",'GA55 Check &amp; Edit'!R27)</f>
        <v/>
      </c>
      <c r="Q25" s="421" t="str">
        <f>IF(AND('GA55 Check &amp; Edit'!S27=""),"",'GA55 Check &amp; Edit'!S27)</f>
        <v/>
      </c>
      <c r="R25" s="421" t="str">
        <f>IF(AND('GA55 Check &amp; Edit'!T27=""),"",'GA55 Check &amp; Edit'!T27)</f>
        <v/>
      </c>
      <c r="S25" s="421" t="str">
        <f>IF(AND('GA55 Check &amp; Edit'!U27=""),"",'GA55 Check &amp; Edit'!U27)</f>
        <v/>
      </c>
      <c r="T25" s="421" t="str">
        <f>IF(AND('GA55 Check &amp; Edit'!V27=""),"",'GA55 Check &amp; Edit'!V27)</f>
        <v/>
      </c>
      <c r="U25" s="421" t="str">
        <f>IF(AND('GA55 Check &amp; Edit'!W27=""),"",'GA55 Check &amp; Edit'!W27)</f>
        <v/>
      </c>
      <c r="V25" s="421" t="str">
        <f>IF(AND('GA55 Check &amp; Edit'!X27=""),"",'GA55 Check &amp; Edit'!X27)</f>
        <v/>
      </c>
      <c r="W25" s="421" t="str">
        <f>IF(AND('GA55 Check &amp; Edit'!Y27=""),"",'GA55 Check &amp; Edit'!Y27)</f>
        <v/>
      </c>
      <c r="X25" s="421" t="str">
        <f>IF(AND('GA55 Check &amp; Edit'!Z27=""),"",'GA55 Check &amp; Edit'!Z27)</f>
        <v/>
      </c>
      <c r="Y25" s="421" t="str">
        <f>IF(AND('GA55 Check &amp; Edit'!AA27=""),"",'GA55 Check &amp; Edit'!AA27)</f>
        <v/>
      </c>
      <c r="Z25" s="421" t="str">
        <f>IF(AND('GA55 Check &amp; Edit'!AB27=""),"",'GA55 Check &amp; Edit'!AB27)</f>
        <v/>
      </c>
      <c r="AA25" s="421" t="str">
        <f>IF(AND('GA55 Check &amp; Edit'!AC27=""),"",'GA55 Check &amp; Edit'!AC27)</f>
        <v/>
      </c>
      <c r="AB25" s="421" t="str">
        <f>IF(AND('GA55 Check &amp; Edit'!AD27=""),"",'GA55 Check &amp; Edit'!AD27)</f>
        <v/>
      </c>
      <c r="AC25" s="422" t="str">
        <f>IF(AND('GA55 Check &amp; Edit'!AE27=""),"",'GA55 Check &amp; Edit'!AE27)</f>
        <v/>
      </c>
      <c r="AD25" s="1"/>
      <c r="AE25" s="1"/>
      <c r="AF25" s="1"/>
      <c r="AG25" s="36"/>
      <c r="AH25" s="1"/>
    </row>
    <row r="26" ht="21.75" customHeight="1">
      <c r="A26" s="418">
        <v>21.0</v>
      </c>
      <c r="B26" s="419" t="str">
        <f>IF(AND('GA55 Check &amp; Edit'!D28=""),"",'GA55 Check &amp; Edit'!D28)</f>
        <v/>
      </c>
      <c r="C26" s="421" t="str">
        <f>IF(AND('GA55 Check &amp; Edit'!E28=""),"",'GA55 Check &amp; Edit'!E28)</f>
        <v/>
      </c>
      <c r="D26" s="421" t="str">
        <f>IF(AND('GA55 Check &amp; Edit'!F28=""),"",'GA55 Check &amp; Edit'!F28)</f>
        <v/>
      </c>
      <c r="E26" s="421" t="str">
        <f>IF(AND('GA55 Check &amp; Edit'!G28=""),"",'GA55 Check &amp; Edit'!G28)</f>
        <v/>
      </c>
      <c r="F26" s="421" t="str">
        <f>IF(AND('GA55 Check &amp; Edit'!H28=""),"",'GA55 Check &amp; Edit'!H28)</f>
        <v/>
      </c>
      <c r="G26" s="421" t="str">
        <f>IF(AND('GA55 Check &amp; Edit'!I28=""),"",'GA55 Check &amp; Edit'!I28)</f>
        <v/>
      </c>
      <c r="H26" s="421" t="str">
        <f>IF(AND('GA55 Check &amp; Edit'!J28=""),"",'GA55 Check &amp; Edit'!J28)</f>
        <v/>
      </c>
      <c r="I26" s="421" t="str">
        <f>IF(AND('GA55 Check &amp; Edit'!K28=""),"",'GA55 Check &amp; Edit'!K28)</f>
        <v/>
      </c>
      <c r="J26" s="421" t="str">
        <f>IF(AND('GA55 Check &amp; Edit'!L28=""),"",'GA55 Check &amp; Edit'!L28)</f>
        <v/>
      </c>
      <c r="K26" s="421" t="str">
        <f>IF(AND('GA55 Check &amp; Edit'!M28=""),"",'GA55 Check &amp; Edit'!M28)</f>
        <v/>
      </c>
      <c r="L26" s="421" t="str">
        <f>IF(AND('GA55 Check &amp; Edit'!N28=""),"",'GA55 Check &amp; Edit'!N28)</f>
        <v/>
      </c>
      <c r="M26" s="421" t="str">
        <f>IF(AND('GA55 Check &amp; Edit'!O28=""),"",'GA55 Check &amp; Edit'!O28)</f>
        <v/>
      </c>
      <c r="N26" s="421" t="str">
        <f>IF(AND('GA55 Check &amp; Edit'!P28=""),"",'GA55 Check &amp; Edit'!P28)</f>
        <v/>
      </c>
      <c r="O26" s="421" t="str">
        <f>IF(AND('GA55 Check &amp; Edit'!Q28=""),"",'GA55 Check &amp; Edit'!Q28)</f>
        <v/>
      </c>
      <c r="P26" s="421" t="str">
        <f>IF(AND('GA55 Check &amp; Edit'!R28=""),"",'GA55 Check &amp; Edit'!R28)</f>
        <v/>
      </c>
      <c r="Q26" s="421" t="str">
        <f>IF(AND('GA55 Check &amp; Edit'!S28=""),"",'GA55 Check &amp; Edit'!S28)</f>
        <v/>
      </c>
      <c r="R26" s="421" t="str">
        <f>IF(AND('GA55 Check &amp; Edit'!T28=""),"",'GA55 Check &amp; Edit'!T28)</f>
        <v/>
      </c>
      <c r="S26" s="421" t="str">
        <f>IF(AND('GA55 Check &amp; Edit'!U28=""),"",'GA55 Check &amp; Edit'!U28)</f>
        <v/>
      </c>
      <c r="T26" s="421" t="str">
        <f>IF(AND('GA55 Check &amp; Edit'!V28=""),"",'GA55 Check &amp; Edit'!V28)</f>
        <v/>
      </c>
      <c r="U26" s="421" t="str">
        <f>IF(AND('GA55 Check &amp; Edit'!W28=""),"",'GA55 Check &amp; Edit'!W28)</f>
        <v/>
      </c>
      <c r="V26" s="421" t="str">
        <f>IF(AND('GA55 Check &amp; Edit'!X28=""),"",'GA55 Check &amp; Edit'!X28)</f>
        <v/>
      </c>
      <c r="W26" s="421" t="str">
        <f>IF(AND('GA55 Check &amp; Edit'!Y28=""),"",'GA55 Check &amp; Edit'!Y28)</f>
        <v/>
      </c>
      <c r="X26" s="421" t="str">
        <f>IF(AND('GA55 Check &amp; Edit'!Z28=""),"",'GA55 Check &amp; Edit'!Z28)</f>
        <v/>
      </c>
      <c r="Y26" s="421" t="str">
        <f>IF(AND('GA55 Check &amp; Edit'!AA28=""),"",'GA55 Check &amp; Edit'!AA28)</f>
        <v/>
      </c>
      <c r="Z26" s="421" t="str">
        <f>IF(AND('GA55 Check &amp; Edit'!AB28=""),"",'GA55 Check &amp; Edit'!AB28)</f>
        <v/>
      </c>
      <c r="AA26" s="421" t="str">
        <f>IF(AND('GA55 Check &amp; Edit'!AC28=""),"",'GA55 Check &amp; Edit'!AC28)</f>
        <v/>
      </c>
      <c r="AB26" s="421" t="str">
        <f>IF(AND('GA55 Check &amp; Edit'!AD28=""),"",'GA55 Check &amp; Edit'!AD28)</f>
        <v/>
      </c>
      <c r="AC26" s="422" t="str">
        <f>IF(AND('GA55 Check &amp; Edit'!AE28=""),"",'GA55 Check &amp; Edit'!AE28)</f>
        <v/>
      </c>
      <c r="AD26" s="1"/>
      <c r="AE26" s="1"/>
      <c r="AF26" s="1"/>
      <c r="AG26" s="36"/>
      <c r="AH26" s="1"/>
    </row>
    <row r="27" ht="28.5" customHeight="1">
      <c r="A27" s="424"/>
      <c r="B27" s="425" t="s">
        <v>264</v>
      </c>
      <c r="C27" s="426" t="str">
        <f t="shared" ref="C27:AA27" si="1">IF(AND($D$2=""),"",SUM(C6:C26))</f>
        <v>#ERROR!</v>
      </c>
      <c r="D27" s="426">
        <f t="shared" si="1"/>
        <v>296193</v>
      </c>
      <c r="E27" s="426">
        <f t="shared" si="1"/>
        <v>48880</v>
      </c>
      <c r="F27" s="426">
        <f t="shared" si="1"/>
        <v>0</v>
      </c>
      <c r="G27" s="426">
        <f t="shared" si="1"/>
        <v>0</v>
      </c>
      <c r="H27" s="426">
        <f t="shared" si="1"/>
        <v>0</v>
      </c>
      <c r="I27" s="426">
        <f t="shared" si="1"/>
        <v>0</v>
      </c>
      <c r="J27" s="426">
        <f t="shared" si="1"/>
        <v>600</v>
      </c>
      <c r="K27" s="426">
        <f t="shared" si="1"/>
        <v>0</v>
      </c>
      <c r="L27" s="426">
        <f t="shared" si="1"/>
        <v>0</v>
      </c>
      <c r="M27" s="426" t="str">
        <f t="shared" si="1"/>
        <v>#ERROR!</v>
      </c>
      <c r="N27" s="426">
        <f t="shared" si="1"/>
        <v>0</v>
      </c>
      <c r="O27" s="426">
        <f t="shared" si="1"/>
        <v>7493</v>
      </c>
      <c r="P27" s="426">
        <f t="shared" si="1"/>
        <v>0</v>
      </c>
      <c r="Q27" s="426">
        <f t="shared" si="1"/>
        <v>7238</v>
      </c>
      <c r="R27" s="426">
        <f t="shared" si="1"/>
        <v>30000</v>
      </c>
      <c r="S27" s="426" t="str">
        <f t="shared" si="1"/>
        <v>#REF!</v>
      </c>
      <c r="T27" s="426">
        <f t="shared" si="1"/>
        <v>0</v>
      </c>
      <c r="U27" s="426">
        <f t="shared" si="1"/>
        <v>1400</v>
      </c>
      <c r="V27" s="426">
        <f t="shared" si="1"/>
        <v>0</v>
      </c>
      <c r="W27" s="426">
        <f t="shared" si="1"/>
        <v>0</v>
      </c>
      <c r="X27" s="426">
        <f t="shared" si="1"/>
        <v>0</v>
      </c>
      <c r="Y27" s="426">
        <f t="shared" si="1"/>
        <v>0</v>
      </c>
      <c r="Z27" s="426">
        <f t="shared" si="1"/>
        <v>92981</v>
      </c>
      <c r="AA27" s="426">
        <f t="shared" si="1"/>
        <v>693480</v>
      </c>
      <c r="AB27" s="427"/>
      <c r="AC27" s="428"/>
      <c r="AD27" s="1"/>
      <c r="AE27" s="1"/>
      <c r="AF27" s="1"/>
      <c r="AG27" s="36"/>
      <c r="AH27" s="1"/>
    </row>
    <row r="28" ht="34.5" customHeight="1">
      <c r="A28" s="429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430"/>
      <c r="R28" s="430"/>
      <c r="S28" s="430"/>
      <c r="T28" s="430"/>
      <c r="U28" s="430"/>
      <c r="V28" s="430"/>
      <c r="W28" s="430"/>
      <c r="X28" s="430"/>
      <c r="Y28" s="430"/>
      <c r="Z28" s="430"/>
      <c r="AA28" s="430"/>
      <c r="AB28" s="430"/>
      <c r="AC28" s="431"/>
      <c r="AD28" s="1"/>
      <c r="AE28" s="1"/>
      <c r="AF28" s="1"/>
      <c r="AG28" s="36"/>
      <c r="AH28" s="1"/>
    </row>
    <row r="29" ht="20.25" customHeight="1">
      <c r="A29" s="429"/>
      <c r="B29" s="36"/>
      <c r="C29" s="432" t="str">
        <f>UPPER(IF('Master Data'!D6="","",'Master Data'!D6))</f>
        <v>MANJU KUMARI </v>
      </c>
      <c r="I29" s="36"/>
      <c r="J29" s="36"/>
      <c r="K29" s="36"/>
      <c r="L29" s="36"/>
      <c r="M29" s="36"/>
      <c r="N29" s="36"/>
      <c r="O29" s="36"/>
      <c r="P29" s="36"/>
      <c r="Q29" s="430"/>
      <c r="R29" s="430"/>
      <c r="S29" s="433" t="str">
        <f>IF(AND('Master Data'!H8=""),"",CONCATENATE("( ",UPPER('Master Data'!H8)," )", ))</f>
        <v>( HUKMARAM  )</v>
      </c>
      <c r="AB29" s="434"/>
      <c r="AC29" s="431"/>
      <c r="AD29" s="1"/>
      <c r="AE29" s="1"/>
      <c r="AF29" s="1"/>
      <c r="AG29" s="36"/>
      <c r="AH29" s="1"/>
    </row>
    <row r="30" ht="21.0" customHeight="1">
      <c r="A30" s="435"/>
      <c r="B30" s="436"/>
      <c r="C30" s="437" t="s">
        <v>265</v>
      </c>
      <c r="D30" s="438"/>
      <c r="E30" s="438"/>
      <c r="F30" s="438"/>
      <c r="G30" s="438"/>
      <c r="H30" s="438"/>
      <c r="I30" s="439"/>
      <c r="J30" s="439"/>
      <c r="K30" s="436"/>
      <c r="L30" s="436"/>
      <c r="M30" s="436"/>
      <c r="N30" s="436"/>
      <c r="O30" s="436"/>
      <c r="P30" s="436"/>
      <c r="Q30" s="440"/>
      <c r="R30" s="440"/>
      <c r="S30" s="441" t="s">
        <v>266</v>
      </c>
      <c r="T30" s="438"/>
      <c r="U30" s="438"/>
      <c r="V30" s="438"/>
      <c r="W30" s="438"/>
      <c r="X30" s="438"/>
      <c r="Y30" s="438"/>
      <c r="Z30" s="438"/>
      <c r="AA30" s="438"/>
      <c r="AB30" s="442"/>
      <c r="AC30" s="443"/>
      <c r="AD30" s="1"/>
      <c r="AE30" s="1"/>
      <c r="AF30" s="1"/>
      <c r="AG30" s="36"/>
      <c r="AH30" s="1"/>
    </row>
    <row r="31" ht="15.75" customHeight="1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1"/>
      <c r="AD31" s="1"/>
      <c r="AE31" s="1"/>
      <c r="AF31" s="1"/>
      <c r="AG31" s="36"/>
      <c r="AH31" s="1"/>
    </row>
    <row r="32" ht="15.75" customHeight="1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1"/>
      <c r="AD32" s="1"/>
      <c r="AE32" s="1"/>
      <c r="AF32" s="1"/>
      <c r="AG32" s="36"/>
      <c r="AH32" s="1"/>
    </row>
    <row r="33" ht="15.75" customHeight="1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444"/>
      <c r="AB33" s="444"/>
      <c r="AC33" s="1"/>
      <c r="AD33" s="1"/>
      <c r="AE33" s="1"/>
      <c r="AF33" s="1"/>
      <c r="AG33" s="36"/>
      <c r="AH33" s="1"/>
    </row>
    <row r="34" ht="15.75" customHeight="1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444"/>
      <c r="AB34" s="444"/>
      <c r="AC34" s="1"/>
      <c r="AD34" s="1"/>
      <c r="AE34" s="1"/>
      <c r="AF34" s="1"/>
      <c r="AG34" s="36"/>
      <c r="AH34" s="1"/>
    </row>
    <row r="35" ht="15.75" customHeight="1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444"/>
      <c r="AB35" s="444"/>
      <c r="AC35" s="1"/>
      <c r="AD35" s="1"/>
      <c r="AE35" s="1"/>
      <c r="AF35" s="1"/>
      <c r="AG35" s="36"/>
      <c r="AH35" s="1"/>
    </row>
    <row r="36" ht="15.75" customHeight="1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444"/>
      <c r="AB36" s="444"/>
      <c r="AC36" s="1"/>
      <c r="AD36" s="1"/>
      <c r="AE36" s="1"/>
      <c r="AF36" s="1"/>
      <c r="AG36" s="36"/>
      <c r="AH36" s="1"/>
    </row>
    <row r="37" ht="15.75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444"/>
      <c r="AB37" s="444"/>
      <c r="AC37" s="1"/>
      <c r="AD37" s="1"/>
      <c r="AE37" s="1"/>
      <c r="AF37" s="1"/>
      <c r="AG37" s="36"/>
      <c r="AH37" s="1"/>
    </row>
    <row r="38" ht="15.75" customHeight="1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444"/>
      <c r="AB38" s="444"/>
      <c r="AC38" s="1"/>
      <c r="AD38" s="1"/>
      <c r="AE38" s="1"/>
      <c r="AF38" s="1"/>
      <c r="AG38" s="36"/>
      <c r="AH38" s="1"/>
    </row>
    <row r="39" ht="15.75" customHeight="1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444"/>
      <c r="AB39" s="444"/>
      <c r="AC39" s="1"/>
      <c r="AD39" s="1"/>
      <c r="AE39" s="1"/>
      <c r="AF39" s="1"/>
      <c r="AG39" s="36"/>
      <c r="AH39" s="1"/>
    </row>
    <row r="40" ht="15.75" customHeight="1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444"/>
      <c r="AB40" s="444"/>
      <c r="AC40" s="1"/>
      <c r="AD40" s="1"/>
      <c r="AE40" s="1"/>
      <c r="AF40" s="1"/>
      <c r="AG40" s="36"/>
      <c r="AH40" s="1"/>
    </row>
    <row r="41" ht="15.75" customHeight="1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444"/>
      <c r="AB41" s="444"/>
      <c r="AC41" s="1"/>
      <c r="AD41" s="1"/>
      <c r="AE41" s="1"/>
      <c r="AF41" s="1"/>
      <c r="AG41" s="36"/>
      <c r="AH41" s="1"/>
    </row>
    <row r="42" ht="15.75" customHeight="1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444"/>
      <c r="AB42" s="444"/>
      <c r="AC42" s="1"/>
      <c r="AD42" s="1"/>
      <c r="AE42" s="1"/>
      <c r="AF42" s="1"/>
      <c r="AG42" s="36"/>
      <c r="AH42" s="1"/>
    </row>
    <row r="43" ht="15.75" customHeight="1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444"/>
      <c r="AB43" s="444"/>
      <c r="AC43" s="1"/>
      <c r="AD43" s="1"/>
      <c r="AE43" s="1"/>
      <c r="AF43" s="1"/>
      <c r="AG43" s="36"/>
      <c r="AH43" s="1"/>
    </row>
    <row r="44" ht="15.75" customHeight="1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444"/>
      <c r="AB44" s="444"/>
      <c r="AC44" s="1"/>
      <c r="AD44" s="1"/>
      <c r="AE44" s="1"/>
      <c r="AF44" s="1"/>
      <c r="AG44" s="36"/>
      <c r="AH44" s="1"/>
    </row>
    <row r="45" ht="15.75" customHeight="1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444"/>
      <c r="AB45" s="444"/>
      <c r="AC45" s="1"/>
      <c r="AD45" s="1"/>
      <c r="AE45" s="1"/>
      <c r="AF45" s="1"/>
      <c r="AG45" s="36"/>
      <c r="AH45" s="1"/>
    </row>
    <row r="46" ht="15.75" customHeight="1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444"/>
      <c r="AB46" s="444"/>
      <c r="AC46" s="1"/>
      <c r="AD46" s="1"/>
      <c r="AE46" s="1"/>
      <c r="AF46" s="1"/>
      <c r="AG46" s="36"/>
      <c r="AH46" s="1"/>
    </row>
    <row r="47" ht="15.75" customHeight="1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444"/>
      <c r="AB47" s="444"/>
      <c r="AC47" s="1"/>
      <c r="AD47" s="1"/>
      <c r="AE47" s="1"/>
      <c r="AF47" s="1"/>
      <c r="AG47" s="36"/>
      <c r="AH47" s="1"/>
    </row>
    <row r="48" ht="15.75" customHeight="1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444"/>
      <c r="AB48" s="444"/>
      <c r="AC48" s="1"/>
      <c r="AD48" s="1"/>
      <c r="AE48" s="1"/>
      <c r="AF48" s="1"/>
      <c r="AG48" s="36"/>
      <c r="AH48" s="1"/>
    </row>
    <row r="49" ht="15.75" customHeight="1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444"/>
      <c r="AB49" s="444"/>
      <c r="AC49" s="1"/>
      <c r="AD49" s="1"/>
      <c r="AE49" s="1"/>
      <c r="AF49" s="1"/>
      <c r="AG49" s="36"/>
      <c r="AH49" s="1"/>
    </row>
    <row r="50" ht="15.75" customHeight="1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444"/>
      <c r="AB50" s="444"/>
      <c r="AC50" s="1"/>
      <c r="AD50" s="1"/>
      <c r="AE50" s="1"/>
      <c r="AF50" s="1"/>
      <c r="AG50" s="36"/>
      <c r="AH50" s="1"/>
    </row>
    <row r="51" ht="15.75" customHeight="1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444"/>
      <c r="AB51" s="444"/>
      <c r="AC51" s="1"/>
      <c r="AD51" s="1"/>
      <c r="AE51" s="1"/>
      <c r="AF51" s="1"/>
      <c r="AG51" s="36"/>
      <c r="AH51" s="1"/>
    </row>
    <row r="52" ht="15.75" customHeight="1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444"/>
      <c r="AB52" s="444"/>
      <c r="AC52" s="1"/>
      <c r="AD52" s="1"/>
      <c r="AE52" s="1"/>
      <c r="AF52" s="1"/>
      <c r="AG52" s="36"/>
      <c r="AH52" s="1"/>
    </row>
    <row r="53" ht="15.75" customHeight="1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444"/>
      <c r="AB53" s="444"/>
      <c r="AC53" s="1"/>
      <c r="AD53" s="1"/>
      <c r="AE53" s="1"/>
      <c r="AF53" s="1"/>
      <c r="AG53" s="36"/>
      <c r="AH53" s="1"/>
    </row>
    <row r="54" ht="15.75" customHeight="1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444"/>
      <c r="AB54" s="444"/>
      <c r="AC54" s="1"/>
      <c r="AD54" s="1"/>
      <c r="AE54" s="1"/>
      <c r="AF54" s="1"/>
      <c r="AG54" s="36"/>
      <c r="AH54" s="1"/>
    </row>
    <row r="55" ht="15.75" customHeight="1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444"/>
      <c r="AB55" s="444"/>
      <c r="AC55" s="1"/>
      <c r="AD55" s="1"/>
      <c r="AE55" s="1"/>
      <c r="AF55" s="1"/>
      <c r="AG55" s="36"/>
      <c r="AH55" s="1"/>
    </row>
    <row r="56" ht="15.75" customHeight="1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444"/>
      <c r="AB56" s="444"/>
      <c r="AC56" s="1"/>
      <c r="AD56" s="1"/>
      <c r="AE56" s="1"/>
      <c r="AF56" s="1"/>
      <c r="AG56" s="36"/>
      <c r="AH56" s="1"/>
    </row>
    <row r="57" ht="15.75" customHeight="1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444"/>
      <c r="AB57" s="444"/>
      <c r="AC57" s="1"/>
      <c r="AD57" s="1"/>
      <c r="AE57" s="1"/>
      <c r="AF57" s="1"/>
      <c r="AG57" s="36"/>
      <c r="AH57" s="1"/>
    </row>
    <row r="58" ht="15.75" customHeight="1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444"/>
      <c r="AB58" s="444"/>
      <c r="AC58" s="1"/>
      <c r="AD58" s="1"/>
      <c r="AE58" s="1"/>
      <c r="AF58" s="1"/>
      <c r="AG58" s="36"/>
      <c r="AH58" s="1"/>
    </row>
    <row r="59" ht="15.75" customHeight="1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444"/>
      <c r="AB59" s="444"/>
      <c r="AC59" s="1"/>
      <c r="AD59" s="1"/>
      <c r="AE59" s="1"/>
      <c r="AF59" s="1"/>
      <c r="AG59" s="36"/>
      <c r="AH59" s="1"/>
    </row>
    <row r="60" ht="15.75" customHeight="1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444"/>
      <c r="AB60" s="444"/>
      <c r="AC60" s="1"/>
      <c r="AD60" s="1"/>
      <c r="AE60" s="1"/>
      <c r="AF60" s="1"/>
      <c r="AG60" s="36"/>
      <c r="AH60" s="1"/>
    </row>
    <row r="61" ht="15.75" customHeight="1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444"/>
      <c r="AB61" s="444"/>
      <c r="AC61" s="1"/>
      <c r="AD61" s="1"/>
      <c r="AE61" s="1"/>
      <c r="AF61" s="1"/>
      <c r="AG61" s="36"/>
      <c r="AH61" s="1"/>
    </row>
    <row r="62" ht="15.75" customHeight="1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444"/>
      <c r="AB62" s="444"/>
      <c r="AC62" s="1"/>
      <c r="AD62" s="1"/>
      <c r="AE62" s="1"/>
      <c r="AF62" s="1"/>
      <c r="AG62" s="36"/>
      <c r="AH62" s="1"/>
    </row>
    <row r="63" ht="15.75" customHeight="1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444"/>
      <c r="AB63" s="444"/>
      <c r="AC63" s="1"/>
      <c r="AD63" s="1"/>
      <c r="AE63" s="1"/>
      <c r="AF63" s="1"/>
      <c r="AG63" s="36"/>
      <c r="AH63" s="1"/>
    </row>
    <row r="64" ht="15.75" customHeight="1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444"/>
      <c r="AB64" s="444"/>
      <c r="AC64" s="1"/>
      <c r="AD64" s="1"/>
      <c r="AE64" s="1"/>
      <c r="AF64" s="1"/>
      <c r="AG64" s="36"/>
      <c r="AH64" s="1"/>
    </row>
    <row r="65" ht="15.75" customHeight="1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444"/>
      <c r="AB65" s="444"/>
      <c r="AC65" s="1"/>
      <c r="AD65" s="1"/>
      <c r="AE65" s="1"/>
      <c r="AF65" s="1"/>
      <c r="AG65" s="36"/>
      <c r="AH65" s="1"/>
    </row>
    <row r="66" ht="15.75" customHeight="1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444"/>
      <c r="AB66" s="444"/>
      <c r="AC66" s="1"/>
      <c r="AD66" s="1"/>
      <c r="AE66" s="1"/>
      <c r="AF66" s="1"/>
      <c r="AG66" s="36"/>
      <c r="AH66" s="1"/>
    </row>
    <row r="67" ht="15.75" customHeight="1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444"/>
      <c r="AB67" s="444"/>
      <c r="AC67" s="1"/>
      <c r="AD67" s="1"/>
      <c r="AE67" s="1"/>
      <c r="AF67" s="1"/>
      <c r="AG67" s="36"/>
      <c r="AH67" s="1"/>
    </row>
    <row r="68" ht="15.75" customHeight="1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444"/>
      <c r="AB68" s="444"/>
      <c r="AC68" s="1"/>
      <c r="AD68" s="1"/>
      <c r="AE68" s="1"/>
      <c r="AF68" s="1"/>
      <c r="AG68" s="36"/>
      <c r="AH68" s="1"/>
    </row>
    <row r="69" ht="15.75" customHeight="1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444"/>
      <c r="AB69" s="444"/>
      <c r="AC69" s="1"/>
      <c r="AD69" s="1"/>
      <c r="AE69" s="1"/>
      <c r="AF69" s="1"/>
      <c r="AG69" s="36"/>
      <c r="AH69" s="1"/>
    </row>
    <row r="70" ht="15.75" customHeight="1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444"/>
      <c r="AB70" s="444"/>
      <c r="AC70" s="1"/>
      <c r="AD70" s="1"/>
      <c r="AE70" s="1"/>
      <c r="AF70" s="1"/>
      <c r="AG70" s="36"/>
      <c r="AH70" s="1"/>
    </row>
    <row r="71" ht="15.75" customHeight="1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444"/>
      <c r="AB71" s="444"/>
      <c r="AC71" s="1"/>
      <c r="AD71" s="1"/>
      <c r="AE71" s="1"/>
      <c r="AF71" s="1"/>
      <c r="AG71" s="36"/>
      <c r="AH71" s="1"/>
    </row>
    <row r="72" ht="15.75" customHeight="1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444"/>
      <c r="AB72" s="444"/>
      <c r="AC72" s="1"/>
      <c r="AD72" s="1"/>
      <c r="AE72" s="1"/>
      <c r="AF72" s="1"/>
      <c r="AG72" s="36"/>
      <c r="AH72" s="1"/>
    </row>
    <row r="73" ht="15.75" customHeight="1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444"/>
      <c r="AB73" s="444"/>
      <c r="AC73" s="1"/>
      <c r="AD73" s="1"/>
      <c r="AE73" s="1"/>
      <c r="AF73" s="1"/>
      <c r="AG73" s="36"/>
      <c r="AH73" s="1"/>
    </row>
    <row r="74" ht="15.75" customHeight="1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444"/>
      <c r="AB74" s="444"/>
      <c r="AC74" s="1"/>
      <c r="AD74" s="1"/>
      <c r="AE74" s="1"/>
      <c r="AF74" s="1"/>
      <c r="AG74" s="36"/>
      <c r="AH74" s="1"/>
    </row>
    <row r="75" ht="15.75" customHeight="1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444"/>
      <c r="AB75" s="444"/>
      <c r="AC75" s="1"/>
      <c r="AD75" s="1"/>
      <c r="AE75" s="1"/>
      <c r="AF75" s="1"/>
      <c r="AG75" s="36"/>
      <c r="AH75" s="1"/>
    </row>
    <row r="76" ht="15.75" customHeight="1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444"/>
      <c r="AB76" s="444"/>
      <c r="AC76" s="1"/>
      <c r="AD76" s="1"/>
      <c r="AE76" s="1"/>
      <c r="AF76" s="1"/>
      <c r="AG76" s="36"/>
      <c r="AH76" s="1"/>
    </row>
    <row r="77" ht="15.75" customHeight="1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444"/>
      <c r="AB77" s="444"/>
      <c r="AC77" s="1"/>
      <c r="AD77" s="1"/>
      <c r="AE77" s="1"/>
      <c r="AF77" s="1"/>
      <c r="AG77" s="36"/>
      <c r="AH77" s="1"/>
    </row>
    <row r="78" ht="15.75" customHeight="1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444"/>
      <c r="AB78" s="444"/>
      <c r="AC78" s="1"/>
      <c r="AD78" s="1"/>
      <c r="AE78" s="1"/>
      <c r="AF78" s="1"/>
      <c r="AG78" s="36"/>
      <c r="AH78" s="1"/>
    </row>
    <row r="79" ht="15.75" customHeight="1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444"/>
      <c r="AB79" s="444"/>
      <c r="AC79" s="1"/>
      <c r="AD79" s="1"/>
      <c r="AE79" s="1"/>
      <c r="AF79" s="1"/>
      <c r="AG79" s="36"/>
      <c r="AH79" s="1"/>
    </row>
    <row r="80" ht="15.75" customHeight="1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444"/>
      <c r="AB80" s="444"/>
      <c r="AC80" s="1"/>
      <c r="AD80" s="1"/>
      <c r="AE80" s="1"/>
      <c r="AF80" s="1"/>
      <c r="AG80" s="36"/>
      <c r="AH80" s="1"/>
    </row>
    <row r="81" ht="15.75" customHeight="1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444"/>
      <c r="AB81" s="444"/>
      <c r="AC81" s="1"/>
      <c r="AD81" s="1"/>
      <c r="AE81" s="1"/>
      <c r="AF81" s="1"/>
      <c r="AG81" s="36"/>
      <c r="AH81" s="1"/>
    </row>
    <row r="82" ht="15.75" customHeight="1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444"/>
      <c r="AB82" s="444"/>
      <c r="AC82" s="1"/>
      <c r="AD82" s="1"/>
      <c r="AE82" s="1"/>
      <c r="AF82" s="1"/>
      <c r="AG82" s="36"/>
      <c r="AH82" s="1"/>
    </row>
    <row r="83" ht="15.75" customHeight="1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444"/>
      <c r="AB83" s="444"/>
      <c r="AC83" s="1"/>
      <c r="AD83" s="1"/>
      <c r="AE83" s="1"/>
      <c r="AF83" s="1"/>
      <c r="AG83" s="36"/>
      <c r="AH83" s="1"/>
    </row>
    <row r="84" ht="15.75" customHeight="1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444"/>
      <c r="AB84" s="444"/>
      <c r="AC84" s="1"/>
      <c r="AD84" s="1"/>
      <c r="AE84" s="1"/>
      <c r="AF84" s="1"/>
      <c r="AG84" s="36"/>
      <c r="AH84" s="1"/>
    </row>
    <row r="85" ht="15.75" customHeight="1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444"/>
      <c r="AB85" s="444"/>
      <c r="AC85" s="1"/>
      <c r="AD85" s="1"/>
      <c r="AE85" s="1"/>
      <c r="AF85" s="1"/>
      <c r="AG85" s="36"/>
      <c r="AH85" s="1"/>
    </row>
    <row r="86" ht="15.75" customHeight="1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444"/>
      <c r="AB86" s="444"/>
      <c r="AC86" s="1"/>
      <c r="AD86" s="1"/>
      <c r="AE86" s="1"/>
      <c r="AF86" s="1"/>
      <c r="AG86" s="36"/>
      <c r="AH86" s="1"/>
    </row>
    <row r="87" ht="15.75" customHeight="1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444"/>
      <c r="AB87" s="444"/>
      <c r="AC87" s="1"/>
      <c r="AD87" s="1"/>
      <c r="AE87" s="1"/>
      <c r="AF87" s="1"/>
      <c r="AG87" s="36"/>
      <c r="AH87" s="1"/>
    </row>
    <row r="88" ht="15.75" customHeight="1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444"/>
      <c r="AB88" s="444"/>
      <c r="AC88" s="1"/>
      <c r="AD88" s="1"/>
      <c r="AE88" s="1"/>
      <c r="AF88" s="1"/>
      <c r="AG88" s="36"/>
      <c r="AH88" s="1"/>
    </row>
    <row r="89" ht="15.75" customHeight="1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444"/>
      <c r="AB89" s="444"/>
      <c r="AC89" s="1"/>
      <c r="AD89" s="1"/>
      <c r="AE89" s="1"/>
      <c r="AF89" s="1"/>
      <c r="AG89" s="36"/>
      <c r="AH89" s="1"/>
    </row>
    <row r="90" ht="15.75" customHeight="1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444"/>
      <c r="AB90" s="444"/>
      <c r="AC90" s="1"/>
      <c r="AD90" s="1"/>
      <c r="AE90" s="1"/>
      <c r="AF90" s="1"/>
      <c r="AG90" s="36"/>
      <c r="AH90" s="1"/>
    </row>
    <row r="91" ht="15.75" customHeight="1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444"/>
      <c r="AB91" s="444"/>
      <c r="AC91" s="1"/>
      <c r="AD91" s="1"/>
      <c r="AE91" s="1"/>
      <c r="AF91" s="1"/>
      <c r="AG91" s="36"/>
      <c r="AH91" s="1"/>
    </row>
    <row r="92" ht="15.75" customHeight="1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444"/>
      <c r="AB92" s="444"/>
      <c r="AC92" s="1"/>
      <c r="AD92" s="1"/>
      <c r="AE92" s="1"/>
      <c r="AF92" s="1"/>
      <c r="AG92" s="36"/>
      <c r="AH92" s="1"/>
    </row>
    <row r="93" ht="15.75" customHeight="1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444"/>
      <c r="AB93" s="444"/>
      <c r="AC93" s="1"/>
      <c r="AD93" s="1"/>
      <c r="AE93" s="1"/>
      <c r="AF93" s="1"/>
      <c r="AG93" s="36"/>
      <c r="AH93" s="1"/>
    </row>
    <row r="94" ht="15.75" customHeight="1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444"/>
      <c r="AB94" s="444"/>
      <c r="AC94" s="1"/>
      <c r="AD94" s="1"/>
      <c r="AE94" s="1"/>
      <c r="AF94" s="1"/>
      <c r="AG94" s="36"/>
      <c r="AH94" s="1"/>
    </row>
    <row r="95" ht="15.75" customHeight="1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444"/>
      <c r="AB95" s="444"/>
      <c r="AC95" s="1"/>
      <c r="AD95" s="1"/>
      <c r="AE95" s="1"/>
      <c r="AF95" s="1"/>
      <c r="AG95" s="36"/>
      <c r="AH95" s="1"/>
    </row>
    <row r="96" ht="15.75" customHeight="1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444"/>
      <c r="AB96" s="444"/>
      <c r="AC96" s="1"/>
      <c r="AD96" s="1"/>
      <c r="AE96" s="1"/>
      <c r="AF96" s="1"/>
      <c r="AG96" s="36"/>
      <c r="AH96" s="1"/>
    </row>
    <row r="97" ht="15.75" customHeight="1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444"/>
      <c r="AB97" s="444"/>
      <c r="AC97" s="1"/>
      <c r="AD97" s="1"/>
      <c r="AE97" s="1"/>
      <c r="AF97" s="1"/>
      <c r="AG97" s="36"/>
      <c r="AH97" s="1"/>
    </row>
    <row r="98" ht="15.75" customHeight="1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444"/>
      <c r="AB98" s="444"/>
      <c r="AC98" s="1"/>
      <c r="AD98" s="1"/>
      <c r="AE98" s="1"/>
      <c r="AF98" s="1"/>
      <c r="AG98" s="36"/>
      <c r="AH98" s="1"/>
    </row>
    <row r="99" ht="15.75" customHeight="1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444"/>
      <c r="AB99" s="444"/>
      <c r="AC99" s="1"/>
      <c r="AD99" s="1"/>
      <c r="AE99" s="1"/>
      <c r="AF99" s="1"/>
      <c r="AG99" s="36"/>
      <c r="AH99" s="1"/>
    </row>
    <row r="100" ht="15.75" customHeight="1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444"/>
      <c r="AB100" s="444"/>
      <c r="AC100" s="1"/>
      <c r="AD100" s="1"/>
      <c r="AE100" s="1"/>
      <c r="AF100" s="1"/>
      <c r="AG100" s="36"/>
      <c r="AH100" s="1"/>
    </row>
    <row r="101" ht="15.75" customHeight="1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444"/>
      <c r="AB101" s="444"/>
      <c r="AC101" s="1"/>
      <c r="AD101" s="1"/>
      <c r="AE101" s="1"/>
      <c r="AF101" s="1"/>
      <c r="AG101" s="36"/>
      <c r="AH101" s="1"/>
    </row>
    <row r="102" ht="15.75" customHeight="1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444"/>
      <c r="AB102" s="444"/>
      <c r="AC102" s="1"/>
      <c r="AD102" s="1"/>
      <c r="AE102" s="1"/>
      <c r="AF102" s="1"/>
      <c r="AG102" s="36"/>
      <c r="AH102" s="1"/>
    </row>
    <row r="103" ht="15.75" customHeight="1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444"/>
      <c r="AB103" s="444"/>
      <c r="AC103" s="1"/>
      <c r="AD103" s="1"/>
      <c r="AE103" s="1"/>
      <c r="AF103" s="1"/>
      <c r="AG103" s="36"/>
      <c r="AH103" s="1"/>
    </row>
    <row r="104" ht="15.75" customHeight="1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444"/>
      <c r="AB104" s="444"/>
      <c r="AC104" s="1"/>
      <c r="AD104" s="1"/>
      <c r="AE104" s="1"/>
      <c r="AF104" s="1"/>
      <c r="AG104" s="36"/>
      <c r="AH104" s="1"/>
    </row>
    <row r="105" ht="15.75" customHeight="1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444"/>
      <c r="AB105" s="444"/>
      <c r="AC105" s="1"/>
      <c r="AD105" s="1"/>
      <c r="AE105" s="1"/>
      <c r="AF105" s="1"/>
      <c r="AG105" s="36"/>
      <c r="AH105" s="1"/>
    </row>
    <row r="106" ht="15.75" customHeight="1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444"/>
      <c r="AB106" s="444"/>
      <c r="AC106" s="1"/>
      <c r="AD106" s="1"/>
      <c r="AE106" s="1"/>
      <c r="AF106" s="1"/>
      <c r="AG106" s="36"/>
      <c r="AH106" s="1"/>
    </row>
    <row r="107" ht="15.75" customHeight="1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444"/>
      <c r="AB107" s="444"/>
      <c r="AC107" s="1"/>
      <c r="AD107" s="1"/>
      <c r="AE107" s="1"/>
      <c r="AF107" s="1"/>
      <c r="AG107" s="36"/>
      <c r="AH107" s="1"/>
    </row>
    <row r="108" ht="15.75" customHeight="1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444"/>
      <c r="AB108" s="444"/>
      <c r="AC108" s="1"/>
      <c r="AD108" s="1"/>
      <c r="AE108" s="1"/>
      <c r="AF108" s="1"/>
      <c r="AG108" s="36"/>
      <c r="AH108" s="1"/>
    </row>
    <row r="109" ht="15.75" customHeight="1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444"/>
      <c r="AB109" s="444"/>
      <c r="AC109" s="1"/>
      <c r="AD109" s="1"/>
      <c r="AE109" s="1"/>
      <c r="AF109" s="1"/>
      <c r="AG109" s="36"/>
      <c r="AH109" s="1"/>
    </row>
    <row r="110" ht="15.75" customHeight="1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444"/>
      <c r="AB110" s="444"/>
      <c r="AC110" s="1"/>
      <c r="AD110" s="1"/>
      <c r="AE110" s="1"/>
      <c r="AF110" s="1"/>
      <c r="AG110" s="36"/>
      <c r="AH110" s="1"/>
    </row>
    <row r="111" ht="15.75" customHeight="1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444"/>
      <c r="AB111" s="444"/>
      <c r="AC111" s="1"/>
      <c r="AD111" s="1"/>
      <c r="AE111" s="1"/>
      <c r="AF111" s="1"/>
      <c r="AG111" s="36"/>
      <c r="AH111" s="1"/>
    </row>
    <row r="112" ht="15.75" customHeight="1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444"/>
      <c r="AB112" s="444"/>
      <c r="AC112" s="1"/>
      <c r="AD112" s="1"/>
      <c r="AE112" s="1"/>
      <c r="AF112" s="1"/>
      <c r="AG112" s="36"/>
      <c r="AH112" s="1"/>
    </row>
    <row r="113" ht="15.75" customHeight="1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444"/>
      <c r="AB113" s="444"/>
      <c r="AC113" s="1"/>
      <c r="AD113" s="1"/>
      <c r="AE113" s="1"/>
      <c r="AF113" s="1"/>
      <c r="AG113" s="36"/>
      <c r="AH113" s="1"/>
    </row>
    <row r="114" ht="15.75" customHeight="1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444"/>
      <c r="AB114" s="444"/>
      <c r="AC114" s="1"/>
      <c r="AD114" s="1"/>
      <c r="AE114" s="1"/>
      <c r="AF114" s="1"/>
      <c r="AG114" s="36"/>
      <c r="AH114" s="1"/>
    </row>
    <row r="115" ht="15.75" customHeight="1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444"/>
      <c r="AB115" s="444"/>
      <c r="AC115" s="1"/>
      <c r="AD115" s="1"/>
      <c r="AE115" s="1"/>
      <c r="AF115" s="1"/>
      <c r="AG115" s="36"/>
      <c r="AH115" s="1"/>
    </row>
    <row r="116" ht="15.75" customHeight="1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444"/>
      <c r="AB116" s="444"/>
      <c r="AC116" s="1"/>
      <c r="AD116" s="1"/>
      <c r="AE116" s="1"/>
      <c r="AF116" s="1"/>
      <c r="AG116" s="36"/>
      <c r="AH116" s="1"/>
    </row>
    <row r="117" ht="15.75" customHeight="1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444"/>
      <c r="AB117" s="444"/>
      <c r="AC117" s="1"/>
      <c r="AD117" s="1"/>
      <c r="AE117" s="1"/>
      <c r="AF117" s="1"/>
      <c r="AG117" s="36"/>
      <c r="AH117" s="1"/>
    </row>
    <row r="118" ht="15.75" customHeight="1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444"/>
      <c r="AB118" s="444"/>
      <c r="AC118" s="1"/>
      <c r="AD118" s="1"/>
      <c r="AE118" s="1"/>
      <c r="AF118" s="1"/>
      <c r="AG118" s="36"/>
      <c r="AH118" s="1"/>
    </row>
    <row r="119" ht="15.75" customHeight="1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444"/>
      <c r="AB119" s="444"/>
      <c r="AC119" s="1"/>
      <c r="AD119" s="1"/>
      <c r="AE119" s="1"/>
      <c r="AF119" s="1"/>
      <c r="AG119" s="36"/>
      <c r="AH119" s="1"/>
    </row>
    <row r="120" ht="15.75" customHeight="1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444"/>
      <c r="AB120" s="444"/>
      <c r="AC120" s="1"/>
      <c r="AD120" s="1"/>
      <c r="AE120" s="1"/>
      <c r="AF120" s="1"/>
      <c r="AG120" s="36"/>
      <c r="AH120" s="1"/>
    </row>
    <row r="121" ht="15.75" customHeight="1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444"/>
      <c r="AB121" s="444"/>
      <c r="AC121" s="1"/>
      <c r="AD121" s="1"/>
      <c r="AE121" s="1"/>
      <c r="AF121" s="1"/>
      <c r="AG121" s="36"/>
      <c r="AH121" s="1"/>
    </row>
    <row r="122" ht="15.75" customHeight="1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444"/>
      <c r="AB122" s="444"/>
      <c r="AC122" s="1"/>
      <c r="AD122" s="1"/>
      <c r="AE122" s="1"/>
      <c r="AF122" s="1"/>
      <c r="AG122" s="36"/>
      <c r="AH122" s="1"/>
    </row>
    <row r="123" ht="15.75" customHeight="1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444"/>
      <c r="AB123" s="444"/>
      <c r="AC123" s="1"/>
      <c r="AD123" s="1"/>
      <c r="AE123" s="1"/>
      <c r="AF123" s="1"/>
      <c r="AG123" s="36"/>
      <c r="AH123" s="1"/>
    </row>
    <row r="124" ht="15.75" customHeight="1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444"/>
      <c r="AB124" s="444"/>
      <c r="AC124" s="1"/>
      <c r="AD124" s="1"/>
      <c r="AE124" s="1"/>
      <c r="AF124" s="1"/>
      <c r="AG124" s="36"/>
      <c r="AH124" s="1"/>
    </row>
    <row r="125" ht="15.75" customHeight="1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444"/>
      <c r="AB125" s="444"/>
      <c r="AC125" s="1"/>
      <c r="AD125" s="1"/>
      <c r="AE125" s="1"/>
      <c r="AF125" s="1"/>
      <c r="AG125" s="36"/>
      <c r="AH125" s="1"/>
    </row>
    <row r="126" ht="15.75" customHeight="1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444"/>
      <c r="AB126" s="444"/>
      <c r="AC126" s="1"/>
      <c r="AD126" s="1"/>
      <c r="AE126" s="1"/>
      <c r="AF126" s="1"/>
      <c r="AG126" s="36"/>
      <c r="AH126" s="1"/>
    </row>
    <row r="127" ht="15.75" customHeight="1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444"/>
      <c r="AB127" s="444"/>
      <c r="AC127" s="1"/>
      <c r="AD127" s="1"/>
      <c r="AE127" s="1"/>
      <c r="AF127" s="1"/>
      <c r="AG127" s="36"/>
      <c r="AH127" s="1"/>
    </row>
    <row r="128" ht="15.75" customHeight="1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444"/>
      <c r="AB128" s="444"/>
      <c r="AC128" s="1"/>
      <c r="AD128" s="1"/>
      <c r="AE128" s="1"/>
      <c r="AF128" s="1"/>
      <c r="AG128" s="36"/>
      <c r="AH128" s="1"/>
    </row>
    <row r="129" ht="15.75" customHeight="1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444"/>
      <c r="AB129" s="444"/>
      <c r="AC129" s="1"/>
      <c r="AD129" s="1"/>
      <c r="AE129" s="1"/>
      <c r="AF129" s="1"/>
      <c r="AG129" s="36"/>
      <c r="AH129" s="1"/>
    </row>
    <row r="130" ht="15.75" customHeight="1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444"/>
      <c r="AB130" s="444"/>
      <c r="AC130" s="1"/>
      <c r="AD130" s="1"/>
      <c r="AE130" s="1"/>
      <c r="AF130" s="1"/>
      <c r="AG130" s="36"/>
      <c r="AH130" s="1"/>
    </row>
    <row r="131" ht="15.75" customHeight="1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444"/>
      <c r="AB131" s="444"/>
      <c r="AC131" s="1"/>
      <c r="AD131" s="1"/>
      <c r="AE131" s="1"/>
      <c r="AF131" s="1"/>
      <c r="AG131" s="36"/>
      <c r="AH131" s="1"/>
    </row>
    <row r="132" ht="15.75" customHeight="1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444"/>
      <c r="AB132" s="444"/>
      <c r="AC132" s="1"/>
      <c r="AD132" s="1"/>
      <c r="AE132" s="1"/>
      <c r="AF132" s="1"/>
      <c r="AG132" s="36"/>
      <c r="AH132" s="1"/>
    </row>
    <row r="133" ht="15.75" customHeight="1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444"/>
      <c r="AB133" s="444"/>
      <c r="AC133" s="1"/>
      <c r="AD133" s="1"/>
      <c r="AE133" s="1"/>
      <c r="AF133" s="1"/>
      <c r="AG133" s="36"/>
      <c r="AH133" s="1"/>
    </row>
    <row r="134" ht="15.75" customHeight="1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444"/>
      <c r="AB134" s="444"/>
      <c r="AC134" s="1"/>
      <c r="AD134" s="1"/>
      <c r="AE134" s="1"/>
      <c r="AF134" s="1"/>
      <c r="AG134" s="36"/>
      <c r="AH134" s="1"/>
    </row>
    <row r="135" ht="15.75" customHeight="1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444"/>
      <c r="AB135" s="444"/>
      <c r="AC135" s="1"/>
      <c r="AD135" s="1"/>
      <c r="AE135" s="1"/>
      <c r="AF135" s="1"/>
      <c r="AG135" s="36"/>
      <c r="AH135" s="1"/>
    </row>
    <row r="136" ht="15.75" customHeight="1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444"/>
      <c r="AB136" s="444"/>
      <c r="AC136" s="1"/>
      <c r="AD136" s="1"/>
      <c r="AE136" s="1"/>
      <c r="AF136" s="1"/>
      <c r="AG136" s="36"/>
      <c r="AH136" s="1"/>
    </row>
    <row r="137" ht="15.75" customHeight="1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444"/>
      <c r="AB137" s="444"/>
      <c r="AC137" s="1"/>
      <c r="AD137" s="1"/>
      <c r="AE137" s="1"/>
      <c r="AF137" s="1"/>
      <c r="AG137" s="36"/>
      <c r="AH137" s="1"/>
    </row>
    <row r="138" ht="15.75" customHeight="1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444"/>
      <c r="AB138" s="444"/>
      <c r="AC138" s="1"/>
      <c r="AD138" s="1"/>
      <c r="AE138" s="1"/>
      <c r="AF138" s="1"/>
      <c r="AG138" s="36"/>
      <c r="AH138" s="1"/>
    </row>
    <row r="139" ht="15.75" customHeight="1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444"/>
      <c r="AB139" s="444"/>
      <c r="AC139" s="1"/>
      <c r="AD139" s="1"/>
      <c r="AE139" s="1"/>
      <c r="AF139" s="1"/>
      <c r="AG139" s="36"/>
      <c r="AH139" s="1"/>
    </row>
    <row r="140" ht="15.75" customHeight="1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444"/>
      <c r="AB140" s="444"/>
      <c r="AC140" s="1"/>
      <c r="AD140" s="1"/>
      <c r="AE140" s="1"/>
      <c r="AF140" s="1"/>
      <c r="AG140" s="36"/>
      <c r="AH140" s="1"/>
    </row>
    <row r="141" ht="15.75" customHeight="1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444"/>
      <c r="AB141" s="444"/>
      <c r="AC141" s="1"/>
      <c r="AD141" s="1"/>
      <c r="AE141" s="1"/>
      <c r="AF141" s="1"/>
      <c r="AG141" s="36"/>
      <c r="AH141" s="1"/>
    </row>
    <row r="142" ht="15.75" customHeight="1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444"/>
      <c r="AB142" s="444"/>
      <c r="AC142" s="1"/>
      <c r="AD142" s="1"/>
      <c r="AE142" s="1"/>
      <c r="AF142" s="1"/>
      <c r="AG142" s="36"/>
      <c r="AH142" s="1"/>
    </row>
    <row r="143" ht="15.75" customHeight="1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444"/>
      <c r="AB143" s="444"/>
      <c r="AC143" s="1"/>
      <c r="AD143" s="1"/>
      <c r="AE143" s="1"/>
      <c r="AF143" s="1"/>
      <c r="AG143" s="36"/>
      <c r="AH143" s="1"/>
    </row>
    <row r="144" ht="15.75" customHeight="1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444"/>
      <c r="AB144" s="444"/>
      <c r="AC144" s="1"/>
      <c r="AD144" s="1"/>
      <c r="AE144" s="1"/>
      <c r="AF144" s="1"/>
      <c r="AG144" s="36"/>
      <c r="AH144" s="1"/>
    </row>
    <row r="145" ht="15.75" customHeight="1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444"/>
      <c r="AB145" s="444"/>
      <c r="AC145" s="1"/>
      <c r="AD145" s="1"/>
      <c r="AE145" s="1"/>
      <c r="AF145" s="1"/>
      <c r="AG145" s="36"/>
      <c r="AH145" s="1"/>
    </row>
    <row r="146" ht="15.75" customHeight="1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444"/>
      <c r="AB146" s="444"/>
      <c r="AC146" s="1"/>
      <c r="AD146" s="1"/>
      <c r="AE146" s="1"/>
      <c r="AF146" s="1"/>
      <c r="AG146" s="36"/>
      <c r="AH146" s="1"/>
    </row>
    <row r="147" ht="15.75" customHeight="1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444"/>
      <c r="AB147" s="444"/>
      <c r="AC147" s="1"/>
      <c r="AD147" s="1"/>
      <c r="AE147" s="1"/>
      <c r="AF147" s="1"/>
      <c r="AG147" s="36"/>
      <c r="AH147" s="1"/>
    </row>
    <row r="148" ht="15.75" customHeight="1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444"/>
      <c r="AB148" s="444"/>
      <c r="AC148" s="1"/>
      <c r="AD148" s="1"/>
      <c r="AE148" s="1"/>
      <c r="AF148" s="1"/>
      <c r="AG148" s="36"/>
      <c r="AH148" s="1"/>
    </row>
    <row r="149" ht="15.75" customHeight="1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444"/>
      <c r="AB149" s="444"/>
      <c r="AC149" s="1"/>
      <c r="AD149" s="1"/>
      <c r="AE149" s="1"/>
      <c r="AF149" s="1"/>
      <c r="AG149" s="36"/>
      <c r="AH149" s="1"/>
    </row>
    <row r="150" ht="15.75" customHeight="1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444"/>
      <c r="AB150" s="444"/>
      <c r="AC150" s="1"/>
      <c r="AD150" s="1"/>
      <c r="AE150" s="1"/>
      <c r="AF150" s="1"/>
      <c r="AG150" s="36"/>
      <c r="AH150" s="1"/>
    </row>
    <row r="151" ht="15.75" customHeight="1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444"/>
      <c r="AB151" s="444"/>
      <c r="AC151" s="1"/>
      <c r="AD151" s="1"/>
      <c r="AE151" s="1"/>
      <c r="AF151" s="1"/>
      <c r="AG151" s="36"/>
      <c r="AH151" s="1"/>
    </row>
    <row r="152" ht="15.75" customHeight="1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444"/>
      <c r="AB152" s="444"/>
      <c r="AC152" s="1"/>
      <c r="AD152" s="1"/>
      <c r="AE152" s="1"/>
      <c r="AF152" s="1"/>
      <c r="AG152" s="36"/>
      <c r="AH152" s="1"/>
    </row>
    <row r="153" ht="15.75" customHeight="1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444"/>
      <c r="AB153" s="444"/>
      <c r="AC153" s="1"/>
      <c r="AD153" s="1"/>
      <c r="AE153" s="1"/>
      <c r="AF153" s="1"/>
      <c r="AG153" s="36"/>
      <c r="AH153" s="1"/>
    </row>
    <row r="154" ht="15.75" customHeight="1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444"/>
      <c r="AB154" s="444"/>
      <c r="AC154" s="1"/>
      <c r="AD154" s="1"/>
      <c r="AE154" s="1"/>
      <c r="AF154" s="1"/>
      <c r="AG154" s="36"/>
      <c r="AH154" s="1"/>
    </row>
    <row r="155" ht="15.75" customHeight="1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444"/>
      <c r="AB155" s="444"/>
      <c r="AC155" s="1"/>
      <c r="AD155" s="1"/>
      <c r="AE155" s="1"/>
      <c r="AF155" s="1"/>
      <c r="AG155" s="36"/>
      <c r="AH155" s="1"/>
    </row>
    <row r="156" ht="15.75" customHeight="1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444"/>
      <c r="AB156" s="444"/>
      <c r="AC156" s="1"/>
      <c r="AD156" s="1"/>
      <c r="AE156" s="1"/>
      <c r="AF156" s="1"/>
      <c r="AG156" s="36"/>
      <c r="AH156" s="1"/>
    </row>
    <row r="157" ht="15.75" customHeight="1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444"/>
      <c r="AB157" s="444"/>
      <c r="AC157" s="1"/>
      <c r="AD157" s="1"/>
      <c r="AE157" s="1"/>
      <c r="AF157" s="1"/>
      <c r="AG157" s="36"/>
      <c r="AH157" s="1"/>
    </row>
    <row r="158" ht="15.75" customHeight="1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444"/>
      <c r="AB158" s="444"/>
      <c r="AC158" s="1"/>
      <c r="AD158" s="1"/>
      <c r="AE158" s="1"/>
      <c r="AF158" s="1"/>
      <c r="AG158" s="36"/>
      <c r="AH158" s="1"/>
    </row>
    <row r="159" ht="15.75" customHeight="1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444"/>
      <c r="AB159" s="444"/>
      <c r="AC159" s="1"/>
      <c r="AD159" s="1"/>
      <c r="AE159" s="1"/>
      <c r="AF159" s="1"/>
      <c r="AG159" s="36"/>
      <c r="AH159" s="1"/>
    </row>
    <row r="160" ht="15.75" customHeight="1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444"/>
      <c r="AB160" s="444"/>
      <c r="AC160" s="1"/>
      <c r="AD160" s="1"/>
      <c r="AE160" s="1"/>
      <c r="AF160" s="1"/>
      <c r="AG160" s="36"/>
      <c r="AH160" s="1"/>
    </row>
    <row r="161" ht="15.75" customHeight="1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444"/>
      <c r="AB161" s="444"/>
      <c r="AC161" s="1"/>
      <c r="AD161" s="1"/>
      <c r="AE161" s="1"/>
      <c r="AF161" s="1"/>
      <c r="AG161" s="36"/>
      <c r="AH161" s="1"/>
    </row>
    <row r="162" ht="15.75" customHeight="1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444"/>
      <c r="AB162" s="444"/>
      <c r="AC162" s="1"/>
      <c r="AD162" s="1"/>
      <c r="AE162" s="1"/>
      <c r="AF162" s="1"/>
      <c r="AG162" s="36"/>
      <c r="AH162" s="1"/>
    </row>
    <row r="163" ht="15.75" customHeight="1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444"/>
      <c r="AB163" s="444"/>
      <c r="AC163" s="1"/>
      <c r="AD163" s="1"/>
      <c r="AE163" s="1"/>
      <c r="AF163" s="1"/>
      <c r="AG163" s="36"/>
      <c r="AH163" s="1"/>
    </row>
    <row r="164" ht="15.75" customHeight="1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444"/>
      <c r="AB164" s="444"/>
      <c r="AC164" s="1"/>
      <c r="AD164" s="1"/>
      <c r="AE164" s="1"/>
      <c r="AF164" s="1"/>
      <c r="AG164" s="36"/>
      <c r="AH164" s="1"/>
    </row>
    <row r="165" ht="15.75" customHeight="1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444"/>
      <c r="AB165" s="444"/>
      <c r="AC165" s="1"/>
      <c r="AD165" s="1"/>
      <c r="AE165" s="1"/>
      <c r="AF165" s="1"/>
      <c r="AG165" s="36"/>
      <c r="AH165" s="1"/>
    </row>
    <row r="166" ht="15.75" customHeight="1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444"/>
      <c r="AB166" s="444"/>
      <c r="AC166" s="1"/>
      <c r="AD166" s="1"/>
      <c r="AE166" s="1"/>
      <c r="AF166" s="1"/>
      <c r="AG166" s="36"/>
      <c r="AH166" s="1"/>
    </row>
    <row r="167" ht="15.75" customHeight="1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444"/>
      <c r="AB167" s="444"/>
      <c r="AC167" s="1"/>
      <c r="AD167" s="1"/>
      <c r="AE167" s="1"/>
      <c r="AF167" s="1"/>
      <c r="AG167" s="36"/>
      <c r="AH167" s="1"/>
    </row>
    <row r="168" ht="15.75" customHeight="1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444"/>
      <c r="AB168" s="444"/>
      <c r="AC168" s="1"/>
      <c r="AD168" s="1"/>
      <c r="AE168" s="1"/>
      <c r="AF168" s="1"/>
      <c r="AG168" s="36"/>
      <c r="AH168" s="1"/>
    </row>
    <row r="169" ht="15.75" customHeight="1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444"/>
      <c r="AB169" s="444"/>
      <c r="AC169" s="1"/>
      <c r="AD169" s="1"/>
      <c r="AE169" s="1"/>
      <c r="AF169" s="1"/>
      <c r="AG169" s="36"/>
      <c r="AH169" s="1"/>
    </row>
    <row r="170" ht="15.75" customHeight="1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444"/>
      <c r="AB170" s="444"/>
      <c r="AC170" s="1"/>
      <c r="AD170" s="1"/>
      <c r="AE170" s="1"/>
      <c r="AF170" s="1"/>
      <c r="AG170" s="36"/>
      <c r="AH170" s="1"/>
    </row>
    <row r="171" ht="15.75" customHeight="1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444"/>
      <c r="AB171" s="444"/>
      <c r="AC171" s="1"/>
      <c r="AD171" s="1"/>
      <c r="AE171" s="1"/>
      <c r="AF171" s="1"/>
      <c r="AG171" s="36"/>
      <c r="AH171" s="1"/>
    </row>
    <row r="172" ht="15.75" customHeight="1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444"/>
      <c r="AB172" s="444"/>
      <c r="AC172" s="1"/>
      <c r="AD172" s="1"/>
      <c r="AE172" s="1"/>
      <c r="AF172" s="1"/>
      <c r="AG172" s="36"/>
      <c r="AH172" s="1"/>
    </row>
    <row r="173" ht="15.75" customHeight="1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444"/>
      <c r="AB173" s="444"/>
      <c r="AC173" s="1"/>
      <c r="AD173" s="1"/>
      <c r="AE173" s="1"/>
      <c r="AF173" s="1"/>
      <c r="AG173" s="36"/>
      <c r="AH173" s="1"/>
    </row>
    <row r="174" ht="15.75" customHeight="1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444"/>
      <c r="AB174" s="444"/>
      <c r="AC174" s="1"/>
      <c r="AD174" s="1"/>
      <c r="AE174" s="1"/>
      <c r="AF174" s="1"/>
      <c r="AG174" s="36"/>
      <c r="AH174" s="1"/>
    </row>
    <row r="175" ht="15.75" customHeight="1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444"/>
      <c r="AB175" s="444"/>
      <c r="AC175" s="1"/>
      <c r="AD175" s="1"/>
      <c r="AE175" s="1"/>
      <c r="AF175" s="1"/>
      <c r="AG175" s="36"/>
      <c r="AH175" s="1"/>
    </row>
    <row r="176" ht="15.75" customHeight="1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444"/>
      <c r="AB176" s="444"/>
      <c r="AC176" s="1"/>
      <c r="AD176" s="1"/>
      <c r="AE176" s="1"/>
      <c r="AF176" s="1"/>
      <c r="AG176" s="36"/>
      <c r="AH176" s="1"/>
    </row>
    <row r="177" ht="15.75" customHeight="1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444"/>
      <c r="AB177" s="444"/>
      <c r="AC177" s="1"/>
      <c r="AD177" s="1"/>
      <c r="AE177" s="1"/>
      <c r="AF177" s="1"/>
      <c r="AG177" s="36"/>
      <c r="AH177" s="1"/>
    </row>
    <row r="178" ht="15.75" customHeight="1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444"/>
      <c r="AB178" s="444"/>
      <c r="AC178" s="1"/>
      <c r="AD178" s="1"/>
      <c r="AE178" s="1"/>
      <c r="AF178" s="1"/>
      <c r="AG178" s="36"/>
      <c r="AH178" s="1"/>
    </row>
    <row r="179" ht="15.75" customHeight="1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444"/>
      <c r="AB179" s="444"/>
      <c r="AC179" s="1"/>
      <c r="AD179" s="1"/>
      <c r="AE179" s="1"/>
      <c r="AF179" s="1"/>
      <c r="AG179" s="36"/>
      <c r="AH179" s="1"/>
    </row>
    <row r="180" ht="15.75" customHeight="1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444"/>
      <c r="AB180" s="444"/>
      <c r="AC180" s="1"/>
      <c r="AD180" s="1"/>
      <c r="AE180" s="1"/>
      <c r="AF180" s="1"/>
      <c r="AG180" s="36"/>
      <c r="AH180" s="1"/>
    </row>
    <row r="181" ht="15.75" customHeight="1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444"/>
      <c r="AB181" s="444"/>
      <c r="AC181" s="1"/>
      <c r="AD181" s="1"/>
      <c r="AE181" s="1"/>
      <c r="AF181" s="1"/>
      <c r="AG181" s="36"/>
      <c r="AH181" s="1"/>
    </row>
    <row r="182" ht="15.75" customHeight="1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444"/>
      <c r="AB182" s="444"/>
      <c r="AC182" s="1"/>
      <c r="AD182" s="1"/>
      <c r="AE182" s="1"/>
      <c r="AF182" s="1"/>
      <c r="AG182" s="36"/>
      <c r="AH182" s="1"/>
    </row>
    <row r="183" ht="15.75" customHeight="1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444"/>
      <c r="AB183" s="444"/>
      <c r="AC183" s="1"/>
      <c r="AD183" s="1"/>
      <c r="AE183" s="1"/>
      <c r="AF183" s="1"/>
      <c r="AG183" s="36"/>
      <c r="AH183" s="1"/>
    </row>
    <row r="184" ht="15.75" customHeight="1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444"/>
      <c r="AB184" s="444"/>
      <c r="AC184" s="1"/>
      <c r="AD184" s="1"/>
      <c r="AE184" s="1"/>
      <c r="AF184" s="1"/>
      <c r="AG184" s="36"/>
      <c r="AH184" s="1"/>
    </row>
    <row r="185" ht="15.75" customHeight="1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444"/>
      <c r="AB185" s="444"/>
      <c r="AC185" s="1"/>
      <c r="AD185" s="1"/>
      <c r="AE185" s="1"/>
      <c r="AF185" s="1"/>
      <c r="AG185" s="36"/>
      <c r="AH185" s="1"/>
    </row>
    <row r="186" ht="15.75" customHeight="1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444"/>
      <c r="AB186" s="444"/>
      <c r="AC186" s="1"/>
      <c r="AD186" s="1"/>
      <c r="AE186" s="1"/>
      <c r="AF186" s="1"/>
      <c r="AG186" s="36"/>
      <c r="AH186" s="1"/>
    </row>
    <row r="187" ht="15.75" customHeight="1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444"/>
      <c r="AB187" s="444"/>
      <c r="AC187" s="1"/>
      <c r="AD187" s="1"/>
      <c r="AE187" s="1"/>
      <c r="AF187" s="1"/>
      <c r="AG187" s="36"/>
      <c r="AH187" s="1"/>
    </row>
    <row r="188" ht="15.75" customHeight="1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444"/>
      <c r="AB188" s="444"/>
      <c r="AC188" s="1"/>
      <c r="AD188" s="1"/>
      <c r="AE188" s="1"/>
      <c r="AF188" s="1"/>
      <c r="AG188" s="36"/>
      <c r="AH188" s="1"/>
    </row>
    <row r="189" ht="15.75" customHeight="1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444"/>
      <c r="AB189" s="444"/>
      <c r="AC189" s="1"/>
      <c r="AD189" s="1"/>
      <c r="AE189" s="1"/>
      <c r="AF189" s="1"/>
      <c r="AG189" s="36"/>
      <c r="AH189" s="1"/>
    </row>
    <row r="190" ht="15.75" customHeight="1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444"/>
      <c r="AB190" s="444"/>
      <c r="AC190" s="1"/>
      <c r="AD190" s="1"/>
      <c r="AE190" s="1"/>
      <c r="AF190" s="1"/>
      <c r="AG190" s="36"/>
      <c r="AH190" s="1"/>
    </row>
    <row r="191" ht="15.75" customHeight="1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444"/>
      <c r="AB191" s="444"/>
      <c r="AC191" s="1"/>
      <c r="AD191" s="1"/>
      <c r="AE191" s="1"/>
      <c r="AF191" s="1"/>
      <c r="AG191" s="36"/>
      <c r="AH191" s="1"/>
    </row>
    <row r="192" ht="15.75" customHeight="1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444"/>
      <c r="AB192" s="444"/>
      <c r="AC192" s="1"/>
      <c r="AD192" s="1"/>
      <c r="AE192" s="1"/>
      <c r="AF192" s="1"/>
      <c r="AG192" s="36"/>
      <c r="AH192" s="1"/>
    </row>
    <row r="193" ht="15.75" customHeight="1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444"/>
      <c r="AB193" s="444"/>
      <c r="AC193" s="1"/>
      <c r="AD193" s="1"/>
      <c r="AE193" s="1"/>
      <c r="AF193" s="1"/>
      <c r="AG193" s="36"/>
      <c r="AH193" s="1"/>
    </row>
    <row r="194" ht="15.75" customHeight="1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444"/>
      <c r="AB194" s="444"/>
      <c r="AC194" s="1"/>
      <c r="AD194" s="1"/>
      <c r="AE194" s="1"/>
      <c r="AF194" s="1"/>
      <c r="AG194" s="36"/>
      <c r="AH194" s="1"/>
    </row>
    <row r="195" ht="15.75" customHeight="1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444"/>
      <c r="AB195" s="444"/>
      <c r="AC195" s="1"/>
      <c r="AD195" s="1"/>
      <c r="AE195" s="1"/>
      <c r="AF195" s="1"/>
      <c r="AG195" s="36"/>
      <c r="AH195" s="1"/>
    </row>
    <row r="196" ht="15.75" customHeight="1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444"/>
      <c r="AB196" s="444"/>
      <c r="AC196" s="1"/>
      <c r="AD196" s="1"/>
      <c r="AE196" s="1"/>
      <c r="AF196" s="1"/>
      <c r="AG196" s="36"/>
      <c r="AH196" s="1"/>
    </row>
    <row r="197" ht="15.75" customHeight="1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444"/>
      <c r="AB197" s="444"/>
      <c r="AC197" s="1"/>
      <c r="AD197" s="1"/>
      <c r="AE197" s="1"/>
      <c r="AF197" s="1"/>
      <c r="AG197" s="36"/>
      <c r="AH197" s="1"/>
    </row>
    <row r="198" ht="15.75" customHeight="1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444"/>
      <c r="AB198" s="444"/>
      <c r="AC198" s="1"/>
      <c r="AD198" s="1"/>
      <c r="AE198" s="1"/>
      <c r="AF198" s="1"/>
      <c r="AG198" s="36"/>
      <c r="AH198" s="1"/>
    </row>
    <row r="199" ht="15.75" customHeight="1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444"/>
      <c r="AB199" s="444"/>
      <c r="AC199" s="1"/>
      <c r="AD199" s="1"/>
      <c r="AE199" s="1"/>
      <c r="AF199" s="1"/>
      <c r="AG199" s="36"/>
      <c r="AH199" s="1"/>
    </row>
    <row r="200" ht="15.75" customHeight="1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444"/>
      <c r="AB200" s="444"/>
      <c r="AC200" s="1"/>
      <c r="AD200" s="1"/>
      <c r="AE200" s="1"/>
      <c r="AF200" s="1"/>
      <c r="AG200" s="36"/>
      <c r="AH200" s="1"/>
    </row>
    <row r="201" ht="15.75" customHeight="1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444"/>
      <c r="AB201" s="444"/>
      <c r="AC201" s="1"/>
      <c r="AD201" s="1"/>
      <c r="AE201" s="1"/>
      <c r="AF201" s="1"/>
      <c r="AG201" s="36"/>
      <c r="AH201" s="1"/>
    </row>
    <row r="202" ht="15.75" customHeight="1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444"/>
      <c r="AB202" s="444"/>
      <c r="AC202" s="1"/>
      <c r="AD202" s="1"/>
      <c r="AE202" s="1"/>
      <c r="AF202" s="1"/>
      <c r="AG202" s="36"/>
      <c r="AH202" s="1"/>
    </row>
    <row r="203" ht="15.75" customHeight="1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444"/>
      <c r="AB203" s="444"/>
      <c r="AC203" s="1"/>
      <c r="AD203" s="1"/>
      <c r="AE203" s="1"/>
      <c r="AF203" s="1"/>
      <c r="AG203" s="36"/>
      <c r="AH203" s="1"/>
    </row>
    <row r="204" ht="15.75" customHeight="1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444"/>
      <c r="AB204" s="444"/>
      <c r="AC204" s="1"/>
      <c r="AD204" s="1"/>
      <c r="AE204" s="1"/>
      <c r="AF204" s="1"/>
      <c r="AG204" s="36"/>
      <c r="AH204" s="1"/>
    </row>
    <row r="205" ht="15.75" customHeight="1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444"/>
      <c r="AB205" s="444"/>
      <c r="AC205" s="1"/>
      <c r="AD205" s="1"/>
      <c r="AE205" s="1"/>
      <c r="AF205" s="1"/>
      <c r="AG205" s="36"/>
      <c r="AH205" s="1"/>
    </row>
    <row r="206" ht="15.75" customHeight="1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444"/>
      <c r="AB206" s="444"/>
      <c r="AC206" s="1"/>
      <c r="AD206" s="1"/>
      <c r="AE206" s="1"/>
      <c r="AF206" s="1"/>
      <c r="AG206" s="36"/>
      <c r="AH206" s="1"/>
    </row>
    <row r="207" ht="15.75" customHeight="1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444"/>
      <c r="AB207" s="444"/>
      <c r="AC207" s="1"/>
      <c r="AD207" s="1"/>
      <c r="AE207" s="1"/>
      <c r="AF207" s="1"/>
      <c r="AG207" s="36"/>
      <c r="AH207" s="1"/>
    </row>
    <row r="208" ht="15.75" customHeight="1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444"/>
      <c r="AB208" s="444"/>
      <c r="AC208" s="1"/>
      <c r="AD208" s="1"/>
      <c r="AE208" s="1"/>
      <c r="AF208" s="1"/>
      <c r="AG208" s="36"/>
      <c r="AH208" s="1"/>
    </row>
    <row r="209" ht="15.75" customHeight="1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444"/>
      <c r="AB209" s="444"/>
      <c r="AC209" s="1"/>
      <c r="AD209" s="1"/>
      <c r="AE209" s="1"/>
      <c r="AF209" s="1"/>
      <c r="AG209" s="36"/>
      <c r="AH209" s="1"/>
    </row>
    <row r="210" ht="15.75" customHeight="1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444"/>
      <c r="AB210" s="444"/>
      <c r="AC210" s="1"/>
      <c r="AD210" s="1"/>
      <c r="AE210" s="1"/>
      <c r="AF210" s="1"/>
      <c r="AG210" s="36"/>
      <c r="AH210" s="1"/>
    </row>
    <row r="211" ht="15.75" customHeight="1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444"/>
      <c r="AB211" s="444"/>
      <c r="AC211" s="1"/>
      <c r="AD211" s="1"/>
      <c r="AE211" s="1"/>
      <c r="AF211" s="1"/>
      <c r="AG211" s="36"/>
      <c r="AH211" s="1"/>
    </row>
    <row r="212" ht="15.75" customHeight="1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444"/>
      <c r="AB212" s="444"/>
      <c r="AC212" s="1"/>
      <c r="AD212" s="1"/>
      <c r="AE212" s="1"/>
      <c r="AF212" s="1"/>
      <c r="AG212" s="36"/>
      <c r="AH212" s="1"/>
    </row>
    <row r="213" ht="15.75" customHeight="1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444"/>
      <c r="AB213" s="444"/>
      <c r="AC213" s="1"/>
      <c r="AD213" s="1"/>
      <c r="AE213" s="1"/>
      <c r="AF213" s="1"/>
      <c r="AG213" s="36"/>
      <c r="AH213" s="1"/>
    </row>
    <row r="214" ht="15.75" customHeight="1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444"/>
      <c r="AB214" s="444"/>
      <c r="AC214" s="1"/>
      <c r="AD214" s="1"/>
      <c r="AE214" s="1"/>
      <c r="AF214" s="1"/>
      <c r="AG214" s="36"/>
      <c r="AH214" s="1"/>
    </row>
    <row r="215" ht="15.75" customHeight="1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444"/>
      <c r="AB215" s="444"/>
      <c r="AC215" s="1"/>
      <c r="AD215" s="1"/>
      <c r="AE215" s="1"/>
      <c r="AF215" s="1"/>
      <c r="AG215" s="36"/>
      <c r="AH215" s="1"/>
    </row>
    <row r="216" ht="15.75" customHeight="1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444"/>
      <c r="AB216" s="444"/>
      <c r="AC216" s="1"/>
      <c r="AD216" s="1"/>
      <c r="AE216" s="1"/>
      <c r="AF216" s="1"/>
      <c r="AG216" s="36"/>
      <c r="AH216" s="1"/>
    </row>
    <row r="217" ht="15.75" customHeight="1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444"/>
      <c r="AB217" s="444"/>
      <c r="AC217" s="1"/>
      <c r="AD217" s="1"/>
      <c r="AE217" s="1"/>
      <c r="AF217" s="1"/>
      <c r="AG217" s="36"/>
      <c r="AH217" s="1"/>
    </row>
    <row r="218" ht="15.75" customHeight="1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444"/>
      <c r="AB218" s="444"/>
      <c r="AC218" s="1"/>
      <c r="AD218" s="1"/>
      <c r="AE218" s="1"/>
      <c r="AF218" s="1"/>
      <c r="AG218" s="36"/>
      <c r="AH218" s="1"/>
    </row>
    <row r="219" ht="15.75" customHeight="1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444"/>
      <c r="AB219" s="444"/>
      <c r="AC219" s="1"/>
      <c r="AD219" s="1"/>
      <c r="AE219" s="1"/>
      <c r="AF219" s="1"/>
      <c r="AG219" s="36"/>
      <c r="AH219" s="1"/>
    </row>
    <row r="220" ht="15.75" customHeight="1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444"/>
      <c r="AB220" s="444"/>
      <c r="AC220" s="1"/>
      <c r="AD220" s="1"/>
      <c r="AE220" s="1"/>
      <c r="AF220" s="1"/>
      <c r="AG220" s="36"/>
      <c r="AH220" s="1"/>
    </row>
    <row r="221" ht="15.75" customHeight="1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444"/>
      <c r="AB221" s="444"/>
      <c r="AC221" s="1"/>
      <c r="AD221" s="1"/>
      <c r="AE221" s="1"/>
      <c r="AF221" s="1"/>
      <c r="AG221" s="36"/>
      <c r="AH221" s="1"/>
    </row>
    <row r="222" ht="15.75" customHeight="1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444"/>
      <c r="AB222" s="444"/>
      <c r="AC222" s="1"/>
      <c r="AD222" s="1"/>
      <c r="AE222" s="1"/>
      <c r="AF222" s="1"/>
      <c r="AG222" s="36"/>
      <c r="AH222" s="1"/>
    </row>
    <row r="223" ht="15.75" customHeight="1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444"/>
      <c r="AB223" s="444"/>
      <c r="AC223" s="1"/>
      <c r="AD223" s="1"/>
      <c r="AE223" s="1"/>
      <c r="AF223" s="1"/>
      <c r="AG223" s="36"/>
      <c r="AH223" s="1"/>
    </row>
    <row r="224" ht="15.75" customHeight="1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444"/>
      <c r="AB224" s="444"/>
      <c r="AC224" s="1"/>
      <c r="AD224" s="1"/>
      <c r="AE224" s="1"/>
      <c r="AF224" s="1"/>
      <c r="AG224" s="36"/>
      <c r="AH224" s="1"/>
    </row>
    <row r="225" ht="15.75" customHeight="1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444"/>
      <c r="AB225" s="444"/>
      <c r="AC225" s="1"/>
      <c r="AD225" s="1"/>
      <c r="AE225" s="1"/>
      <c r="AF225" s="1"/>
      <c r="AG225" s="36"/>
      <c r="AH225" s="1"/>
    </row>
    <row r="226" ht="15.75" customHeight="1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444"/>
      <c r="AB226" s="444"/>
      <c r="AC226" s="1"/>
      <c r="AD226" s="1"/>
      <c r="AE226" s="1"/>
      <c r="AF226" s="1"/>
      <c r="AG226" s="36"/>
      <c r="AH226" s="1"/>
    </row>
    <row r="227" ht="15.75" customHeight="1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444"/>
      <c r="AB227" s="444"/>
      <c r="AC227" s="1"/>
      <c r="AD227" s="1"/>
      <c r="AE227" s="1"/>
      <c r="AF227" s="1"/>
      <c r="AG227" s="36"/>
      <c r="AH227" s="1"/>
    </row>
    <row r="228" ht="15.75" customHeight="1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444"/>
      <c r="AB228" s="444"/>
      <c r="AC228" s="1"/>
      <c r="AD228" s="1"/>
      <c r="AE228" s="1"/>
      <c r="AF228" s="1"/>
      <c r="AG228" s="36"/>
      <c r="AH228" s="1"/>
    </row>
    <row r="229" ht="15.75" customHeight="1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444"/>
      <c r="AB229" s="444"/>
      <c r="AC229" s="1"/>
      <c r="AD229" s="1"/>
      <c r="AE229" s="1"/>
      <c r="AF229" s="1"/>
      <c r="AG229" s="36"/>
      <c r="AH229" s="1"/>
    </row>
    <row r="230" ht="15.75" customHeight="1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444"/>
      <c r="AB230" s="444"/>
      <c r="AC230" s="1"/>
      <c r="AD230" s="1"/>
      <c r="AE230" s="1"/>
      <c r="AF230" s="1"/>
      <c r="AG230" s="36"/>
      <c r="AH230" s="1"/>
    </row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6">
    <mergeCell ref="U2:AA2"/>
    <mergeCell ref="AB2:AC2"/>
    <mergeCell ref="AA4:AA5"/>
    <mergeCell ref="AB4:AB5"/>
    <mergeCell ref="AC4:AC5"/>
    <mergeCell ref="B1:Z1"/>
    <mergeCell ref="AA1:AC1"/>
    <mergeCell ref="A2:C2"/>
    <mergeCell ref="D2:H2"/>
    <mergeCell ref="I2:L2"/>
    <mergeCell ref="M2:P2"/>
    <mergeCell ref="Q2:T2"/>
    <mergeCell ref="G3:I3"/>
    <mergeCell ref="A4:M4"/>
    <mergeCell ref="N4:Z4"/>
    <mergeCell ref="C29:H29"/>
    <mergeCell ref="S29:AA29"/>
    <mergeCell ref="C30:H30"/>
    <mergeCell ref="S30:AA30"/>
    <mergeCell ref="A3:B3"/>
    <mergeCell ref="C3:E3"/>
    <mergeCell ref="K3:N3"/>
    <mergeCell ref="O3:Q3"/>
    <mergeCell ref="R3:V3"/>
    <mergeCell ref="W3:Z3"/>
    <mergeCell ref="AA3:AC3"/>
  </mergeCells>
  <printOptions/>
  <pageMargins bottom="0.12" footer="0.0" header="0.0" left="0.49" right="0.27" top="0.37"/>
  <pageSetup paperSize="9" scale="75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4.0"/>
    <col customWidth="1" min="2" max="2" width="4.43"/>
    <col customWidth="1" min="3" max="3" width="11.71"/>
    <col customWidth="1" min="4" max="4" width="16.29"/>
    <col customWidth="1" min="5" max="5" width="8.57"/>
    <col customWidth="1" min="6" max="6" width="3.14"/>
    <col customWidth="1" min="7" max="7" width="10.86"/>
    <col customWidth="1" min="8" max="8" width="4.57"/>
    <col customWidth="1" min="9" max="9" width="10.0"/>
    <col customWidth="1" min="10" max="10" width="13.14"/>
    <col customWidth="1" min="11" max="11" width="11.71"/>
    <col customWidth="1" min="12" max="12" width="3.43"/>
    <col customWidth="1" min="13" max="13" width="11.0"/>
    <col customWidth="1" min="14" max="14" width="3.0"/>
    <col customWidth="1" min="15" max="15" width="14.43"/>
    <col customWidth="1" min="16" max="16" width="9.14"/>
    <col customWidth="1" min="17" max="17" width="5.14"/>
    <col customWidth="1" min="18" max="18" width="10.43"/>
    <col customWidth="1" min="19" max="19" width="10.57"/>
    <col customWidth="1" hidden="1" min="20" max="20" width="11.14"/>
    <col customWidth="1" min="21" max="21" width="11.57"/>
    <col customWidth="1" min="22" max="23" width="7.43"/>
    <col customWidth="1" hidden="1" min="24" max="33" width="9.14"/>
    <col customWidth="1" hidden="1" min="34" max="34" width="4.71"/>
    <col customWidth="1" hidden="1" min="35" max="35" width="11.0"/>
    <col customWidth="1" hidden="1" min="36" max="36" width="12.0"/>
    <col customWidth="1" min="37" max="37" width="10.57"/>
  </cols>
  <sheetData>
    <row r="1">
      <c r="A1" s="445" t="str">
        <f>IF(AND('Master Data'!D4=""),"",CONCATENATE("Office Name :- ",PROPER('Master Data'!D4)))</f>
        <v>Office Name :- Gsss Dhalop </v>
      </c>
      <c r="P1" s="1"/>
      <c r="Q1" s="1"/>
      <c r="R1" s="1"/>
      <c r="S1" s="1"/>
      <c r="T1" s="446">
        <v>2.0</v>
      </c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>
      <c r="A2" s="447"/>
      <c r="B2" s="447"/>
      <c r="C2" s="448" t="s">
        <v>267</v>
      </c>
      <c r="F2" s="449" t="s">
        <v>268</v>
      </c>
      <c r="G2" s="450"/>
      <c r="H2" s="448" t="s">
        <v>269</v>
      </c>
      <c r="J2" s="449" t="s">
        <v>270</v>
      </c>
      <c r="K2" s="450"/>
      <c r="L2" s="451" t="str">
        <f>IF(T14=T2,"Old Tax Regime","New Tax Regime")</f>
        <v>New Tax Regime</v>
      </c>
      <c r="P2" s="1"/>
      <c r="Q2" s="1"/>
      <c r="R2" s="1"/>
      <c r="S2" s="1"/>
      <c r="T2" s="446">
        <v>1.0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>
      <c r="A3" s="452">
        <v>1.0</v>
      </c>
      <c r="B3" s="453" t="s">
        <v>271</v>
      </c>
      <c r="C3" s="454"/>
      <c r="D3" s="455" t="str">
        <f>UPPER('Master Data'!D6)</f>
        <v>MANJU KUMARI </v>
      </c>
      <c r="E3" s="456"/>
      <c r="F3" s="456"/>
      <c r="G3" s="456"/>
      <c r="H3" s="454"/>
      <c r="I3" s="457" t="s">
        <v>272</v>
      </c>
      <c r="J3" s="455" t="str">
        <f>UPPER('Master Data'!H6)</f>
        <v>TEACHER </v>
      </c>
      <c r="K3" s="456"/>
      <c r="L3" s="454"/>
      <c r="M3" s="458" t="s">
        <v>273</v>
      </c>
      <c r="N3" s="459" t="str">
        <f>UPPER('Master Data'!D12)</f>
        <v>
HXLPK3160E</v>
      </c>
      <c r="O3" s="460"/>
      <c r="P3" s="461"/>
      <c r="Q3" s="46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ht="18.75" customHeight="1">
      <c r="A4" s="462">
        <v>2.0</v>
      </c>
      <c r="B4" s="463" t="s">
        <v>274</v>
      </c>
      <c r="C4" s="464"/>
      <c r="D4" s="464"/>
      <c r="E4" s="464"/>
      <c r="F4" s="464"/>
      <c r="G4" s="464"/>
      <c r="H4" s="464"/>
      <c r="I4" s="464"/>
      <c r="J4" s="465"/>
      <c r="K4" s="464"/>
      <c r="L4" s="464"/>
      <c r="M4" s="466"/>
      <c r="N4" s="467" t="s">
        <v>275</v>
      </c>
      <c r="O4" s="468" t="str">
        <f>'GA55 Only Print'!M27</f>
        <v>#ERROR!</v>
      </c>
      <c r="P4" s="469"/>
      <c r="Q4" s="470"/>
      <c r="R4" s="471" t="s">
        <v>276</v>
      </c>
      <c r="S4" s="387"/>
      <c r="T4" s="387"/>
      <c r="U4" s="387"/>
      <c r="V4" s="389"/>
      <c r="W4" s="472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ht="15.75" customHeight="1">
      <c r="A5" s="473">
        <v>3.0</v>
      </c>
      <c r="B5" s="474" t="s">
        <v>277</v>
      </c>
      <c r="C5" s="464"/>
      <c r="D5" s="464"/>
      <c r="E5" s="464"/>
      <c r="F5" s="464"/>
      <c r="G5" s="464"/>
      <c r="H5" s="464"/>
      <c r="I5" s="464"/>
      <c r="J5" s="464"/>
      <c r="K5" s="464"/>
      <c r="L5" s="464"/>
      <c r="M5" s="466"/>
      <c r="N5" s="467" t="s">
        <v>275</v>
      </c>
      <c r="O5" s="468" t="str">
        <f>IF(T14=T2,SUM('Extra Ded. '!K7+'Extra Ded. '!E6+'GA55 Only Print'!G27),"0")</f>
        <v>0</v>
      </c>
      <c r="P5" s="475"/>
      <c r="Q5" s="470" t="s">
        <v>278</v>
      </c>
      <c r="R5" s="476"/>
      <c r="V5" s="396"/>
      <c r="W5" s="472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>
      <c r="A6" s="473">
        <v>4.0</v>
      </c>
      <c r="B6" s="477" t="s">
        <v>279</v>
      </c>
      <c r="C6" s="464"/>
      <c r="D6" s="464"/>
      <c r="E6" s="464"/>
      <c r="F6" s="464"/>
      <c r="G6" s="464"/>
      <c r="H6" s="464"/>
      <c r="I6" s="464"/>
      <c r="J6" s="464"/>
      <c r="K6" s="464"/>
      <c r="L6" s="464"/>
      <c r="M6" s="466"/>
      <c r="N6" s="467" t="s">
        <v>275</v>
      </c>
      <c r="O6" s="468" t="str">
        <f>SUM(O4-O5)</f>
        <v>#ERROR!</v>
      </c>
      <c r="P6" s="475"/>
      <c r="Q6" s="475"/>
      <c r="R6" s="476"/>
      <c r="V6" s="396"/>
      <c r="W6" s="472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>
      <c r="A7" s="478">
        <v>5.0</v>
      </c>
      <c r="B7" s="463" t="s">
        <v>280</v>
      </c>
      <c r="C7" s="464"/>
      <c r="D7" s="464"/>
      <c r="E7" s="464"/>
      <c r="F7" s="464"/>
      <c r="G7" s="464"/>
      <c r="H7" s="464"/>
      <c r="I7" s="464"/>
      <c r="J7" s="466"/>
      <c r="K7" s="479" t="str">
        <f>IF(T14=T2,'Extra Ded. '!E8,"0")</f>
        <v>0</v>
      </c>
      <c r="L7" s="464"/>
      <c r="M7" s="466"/>
      <c r="N7" s="480"/>
      <c r="O7" s="481"/>
      <c r="P7" s="482"/>
      <c r="Q7" s="482"/>
      <c r="R7" s="483"/>
      <c r="S7" s="438"/>
      <c r="T7" s="438"/>
      <c r="U7" s="438"/>
      <c r="V7" s="484"/>
      <c r="W7" s="472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>
      <c r="A8" s="485"/>
      <c r="B8" s="463" t="s">
        <v>281</v>
      </c>
      <c r="C8" s="464"/>
      <c r="D8" s="464"/>
      <c r="E8" s="464"/>
      <c r="F8" s="464"/>
      <c r="G8" s="464"/>
      <c r="H8" s="464"/>
      <c r="I8" s="464"/>
      <c r="J8" s="466"/>
      <c r="K8" s="479" t="str">
        <f>IF(T14=T2,'Extra Ded. '!E9,"0")</f>
        <v>0</v>
      </c>
      <c r="L8" s="464"/>
      <c r="M8" s="466"/>
      <c r="N8" s="486"/>
      <c r="O8" s="487"/>
      <c r="P8" s="482"/>
      <c r="Q8" s="482"/>
      <c r="R8" s="488"/>
      <c r="S8" s="488"/>
      <c r="T8" s="488"/>
      <c r="U8" s="488"/>
      <c r="V8" s="488"/>
      <c r="W8" s="488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>
      <c r="A9" s="485"/>
      <c r="B9" s="463" t="s">
        <v>282</v>
      </c>
      <c r="C9" s="464"/>
      <c r="D9" s="464"/>
      <c r="E9" s="464"/>
      <c r="F9" s="464"/>
      <c r="G9" s="464"/>
      <c r="H9" s="464"/>
      <c r="I9" s="464"/>
      <c r="J9" s="466"/>
      <c r="K9" s="489" t="str">
        <f>'Extra Ded. '!K11</f>
        <v/>
      </c>
      <c r="L9" s="464"/>
      <c r="M9" s="466"/>
      <c r="N9" s="490"/>
      <c r="O9" s="491"/>
      <c r="P9" s="482"/>
      <c r="Q9" s="482"/>
      <c r="R9" s="488"/>
      <c r="S9" s="488"/>
      <c r="T9" s="488"/>
      <c r="U9" s="488"/>
      <c r="V9" s="488"/>
      <c r="W9" s="488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>
      <c r="A10" s="492"/>
      <c r="B10" s="463" t="s">
        <v>283</v>
      </c>
      <c r="C10" s="464"/>
      <c r="D10" s="464"/>
      <c r="E10" s="464"/>
      <c r="F10" s="464"/>
      <c r="G10" s="464"/>
      <c r="H10" s="464"/>
      <c r="I10" s="464"/>
      <c r="J10" s="466"/>
      <c r="K10" s="489">
        <f>IF('Extra Ded. '!E7="",0,'Extra Ded. '!E7)</f>
        <v>75000</v>
      </c>
      <c r="L10" s="464"/>
      <c r="M10" s="466"/>
      <c r="N10" s="467" t="s">
        <v>275</v>
      </c>
      <c r="O10" s="468">
        <f>SUM(K7:M10)</f>
        <v>75000</v>
      </c>
      <c r="P10" s="475"/>
      <c r="Q10" s="475"/>
      <c r="R10" s="493"/>
      <c r="S10" s="493"/>
      <c r="T10" s="493"/>
      <c r="U10" s="493"/>
      <c r="V10" s="493"/>
      <c r="W10" s="493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7.25" customHeight="1">
      <c r="A11" s="473">
        <v>6.0</v>
      </c>
      <c r="B11" s="477" t="s">
        <v>284</v>
      </c>
      <c r="C11" s="464"/>
      <c r="D11" s="464"/>
      <c r="E11" s="464"/>
      <c r="F11" s="464"/>
      <c r="G11" s="464"/>
      <c r="H11" s="464"/>
      <c r="I11" s="464"/>
      <c r="J11" s="464"/>
      <c r="K11" s="464"/>
      <c r="L11" s="464"/>
      <c r="M11" s="466"/>
      <c r="N11" s="467" t="s">
        <v>275</v>
      </c>
      <c r="O11" s="468" t="str">
        <f>O6-O10</f>
        <v>#ERROR!</v>
      </c>
      <c r="P11" s="475"/>
      <c r="Q11" s="475"/>
      <c r="R11" s="494"/>
      <c r="S11" s="494"/>
      <c r="T11" s="494"/>
      <c r="U11" s="494"/>
      <c r="V11" s="494"/>
      <c r="W11" s="494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>
      <c r="A12" s="478">
        <v>7.0</v>
      </c>
      <c r="B12" s="463" t="s">
        <v>285</v>
      </c>
      <c r="C12" s="464"/>
      <c r="D12" s="464"/>
      <c r="E12" s="464"/>
      <c r="F12" s="464"/>
      <c r="G12" s="464"/>
      <c r="H12" s="466"/>
      <c r="I12" s="495" t="s">
        <v>286</v>
      </c>
      <c r="J12" s="466"/>
      <c r="K12" s="479" t="str">
        <f>'Extra Ded. '!E10</f>
        <v/>
      </c>
      <c r="L12" s="464"/>
      <c r="M12" s="466"/>
      <c r="N12" s="496"/>
      <c r="O12" s="481"/>
      <c r="P12" s="497"/>
      <c r="Q12" s="497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>
      <c r="A13" s="485"/>
      <c r="B13" s="498" t="s">
        <v>287</v>
      </c>
      <c r="C13" s="499"/>
      <c r="D13" s="500" t="s">
        <v>288</v>
      </c>
      <c r="E13" s="466"/>
      <c r="F13" s="500" t="s">
        <v>289</v>
      </c>
      <c r="G13" s="464"/>
      <c r="H13" s="466"/>
      <c r="I13" s="500" t="s">
        <v>290</v>
      </c>
      <c r="J13" s="466"/>
      <c r="K13" s="495" t="s">
        <v>291</v>
      </c>
      <c r="L13" s="464"/>
      <c r="M13" s="466"/>
      <c r="N13" s="486"/>
      <c r="O13" s="487"/>
      <c r="P13" s="497"/>
      <c r="Q13" s="497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>
      <c r="A14" s="492"/>
      <c r="B14" s="490"/>
      <c r="C14" s="501"/>
      <c r="D14" s="479" t="str">
        <f>IF(T14=T2,ROUND(K12*0.3,0),"0")</f>
        <v>0</v>
      </c>
      <c r="E14" s="466"/>
      <c r="F14" s="479" t="str">
        <f>IF(T14=T2,'Extra Ded. '!E13,"0")</f>
        <v>0</v>
      </c>
      <c r="G14" s="464"/>
      <c r="H14" s="466"/>
      <c r="I14" s="479" t="str">
        <f>IF(T14=T2,'Extra Ded. '!E11,"0")</f>
        <v>0</v>
      </c>
      <c r="J14" s="466"/>
      <c r="K14" s="479">
        <f>D14+F14+I14</f>
        <v>0</v>
      </c>
      <c r="L14" s="464"/>
      <c r="M14" s="466"/>
      <c r="N14" s="490"/>
      <c r="O14" s="491"/>
      <c r="P14" s="497"/>
      <c r="Q14" s="497"/>
      <c r="R14" s="1"/>
      <c r="S14" s="1"/>
      <c r="T14" s="446">
        <v>2.0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>
      <c r="A15" s="473"/>
      <c r="B15" s="477" t="s">
        <v>292</v>
      </c>
      <c r="C15" s="464"/>
      <c r="D15" s="464"/>
      <c r="E15" s="464"/>
      <c r="F15" s="464"/>
      <c r="G15" s="464"/>
      <c r="H15" s="464"/>
      <c r="I15" s="464"/>
      <c r="J15" s="464"/>
      <c r="K15" s="464"/>
      <c r="L15" s="464"/>
      <c r="M15" s="466"/>
      <c r="N15" s="467" t="s">
        <v>275</v>
      </c>
      <c r="O15" s="468">
        <f>K12-K14</f>
        <v>0</v>
      </c>
      <c r="P15" s="475"/>
      <c r="Q15" s="475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>
      <c r="A16" s="473">
        <v>8.0</v>
      </c>
      <c r="B16" s="463" t="s">
        <v>293</v>
      </c>
      <c r="C16" s="464"/>
      <c r="D16" s="466"/>
      <c r="E16" s="502" t="str">
        <f>'Extra Ded. '!K22</f>
        <v/>
      </c>
      <c r="F16" s="466"/>
      <c r="G16" s="495" t="s">
        <v>294</v>
      </c>
      <c r="H16" s="466"/>
      <c r="I16" s="503" t="str">
        <f>'Extra Ded. '!E24</f>
        <v/>
      </c>
      <c r="J16" s="477" t="s">
        <v>295</v>
      </c>
      <c r="K16" s="464"/>
      <c r="L16" s="464"/>
      <c r="M16" s="466"/>
      <c r="N16" s="467" t="s">
        <v>275</v>
      </c>
      <c r="O16" s="468" t="str">
        <f>O11+O15</f>
        <v>#ERROR!</v>
      </c>
      <c r="P16" s="475"/>
      <c r="Q16" s="475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>
      <c r="A17" s="473">
        <v>9.0</v>
      </c>
      <c r="B17" s="463" t="s">
        <v>296</v>
      </c>
      <c r="C17" s="464"/>
      <c r="D17" s="466"/>
      <c r="E17" s="502" t="str">
        <f>'Extra Ded. '!K25</f>
        <v/>
      </c>
      <c r="F17" s="466"/>
      <c r="G17" s="495" t="s">
        <v>297</v>
      </c>
      <c r="H17" s="466"/>
      <c r="I17" s="502" t="str">
        <f>'Extra Ded. '!E23</f>
        <v/>
      </c>
      <c r="J17" s="477" t="s">
        <v>298</v>
      </c>
      <c r="K17" s="464"/>
      <c r="L17" s="464"/>
      <c r="M17" s="466"/>
      <c r="N17" s="467" t="s">
        <v>275</v>
      </c>
      <c r="O17" s="468">
        <f>E16+E17+I16+I17</f>
        <v>0</v>
      </c>
      <c r="P17" s="475"/>
      <c r="Q17" s="475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>
      <c r="A18" s="473">
        <v>10.0</v>
      </c>
      <c r="B18" s="504" t="s">
        <v>299</v>
      </c>
      <c r="C18" s="464"/>
      <c r="D18" s="464"/>
      <c r="E18" s="464"/>
      <c r="F18" s="464"/>
      <c r="G18" s="464"/>
      <c r="H18" s="464"/>
      <c r="I18" s="464"/>
      <c r="J18" s="464"/>
      <c r="K18" s="464"/>
      <c r="L18" s="464"/>
      <c r="M18" s="466"/>
      <c r="N18" s="467" t="s">
        <v>275</v>
      </c>
      <c r="O18" s="468" t="str">
        <f>O16+O17</f>
        <v>#ERROR!</v>
      </c>
      <c r="P18" s="469"/>
      <c r="Q18" s="469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>
      <c r="A19" s="478">
        <v>11.0</v>
      </c>
      <c r="B19" s="504" t="s">
        <v>300</v>
      </c>
      <c r="C19" s="464"/>
      <c r="D19" s="464"/>
      <c r="E19" s="464"/>
      <c r="F19" s="464"/>
      <c r="G19" s="464"/>
      <c r="H19" s="464"/>
      <c r="I19" s="464"/>
      <c r="J19" s="464"/>
      <c r="K19" s="464"/>
      <c r="L19" s="464"/>
      <c r="M19" s="464"/>
      <c r="N19" s="464"/>
      <c r="O19" s="505"/>
      <c r="P19" s="506"/>
      <c r="Q19" s="506"/>
      <c r="R19" s="507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>
      <c r="A20" s="485"/>
      <c r="B20" s="474" t="s">
        <v>301</v>
      </c>
      <c r="C20" s="464"/>
      <c r="D20" s="464"/>
      <c r="E20" s="464"/>
      <c r="F20" s="464"/>
      <c r="G20" s="464"/>
      <c r="H20" s="464"/>
      <c r="I20" s="464"/>
      <c r="J20" s="464"/>
      <c r="K20" s="464"/>
      <c r="L20" s="464"/>
      <c r="M20" s="464"/>
      <c r="N20" s="464"/>
      <c r="O20" s="505"/>
      <c r="P20" s="508"/>
      <c r="Q20" s="508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5.75" customHeight="1">
      <c r="A21" s="485"/>
      <c r="B21" s="509" t="s">
        <v>302</v>
      </c>
      <c r="C21" s="474" t="s">
        <v>303</v>
      </c>
      <c r="D21" s="464"/>
      <c r="E21" s="466"/>
      <c r="F21" s="467" t="s">
        <v>275</v>
      </c>
      <c r="G21" s="510" t="str">
        <f>IF(T14=T2,SUM('GA55 Only Print'!N27),"0")</f>
        <v>0</v>
      </c>
      <c r="H21" s="509" t="s">
        <v>304</v>
      </c>
      <c r="I21" s="511" t="s">
        <v>305</v>
      </c>
      <c r="J21" s="464"/>
      <c r="K21" s="466"/>
      <c r="L21" s="467" t="s">
        <v>275</v>
      </c>
      <c r="M21" s="510">
        <v>0.0</v>
      </c>
      <c r="N21" s="512"/>
      <c r="O21" s="481"/>
      <c r="P21" s="444"/>
      <c r="Q21" s="444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5.75" customHeight="1">
      <c r="A22" s="485"/>
      <c r="B22" s="509" t="s">
        <v>306</v>
      </c>
      <c r="C22" s="474" t="s">
        <v>307</v>
      </c>
      <c r="D22" s="464"/>
      <c r="E22" s="466"/>
      <c r="F22" s="467" t="s">
        <v>275</v>
      </c>
      <c r="G22" s="510" t="str">
        <f>IF(T14=T2,'GA55 Only Print'!P27,"0")</f>
        <v>0</v>
      </c>
      <c r="H22" s="509" t="s">
        <v>308</v>
      </c>
      <c r="I22" s="513" t="s">
        <v>309</v>
      </c>
      <c r="J22" s="464"/>
      <c r="K22" s="466"/>
      <c r="L22" s="467" t="s">
        <v>275</v>
      </c>
      <c r="M22" s="510" t="str">
        <f>IF(T14=T2,'Extra Ded. '!K12,"0")</f>
        <v>0</v>
      </c>
      <c r="N22" s="486"/>
      <c r="O22" s="487"/>
      <c r="P22" s="444"/>
      <c r="Q22" s="514" t="s">
        <v>310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5.75" customHeight="1">
      <c r="A23" s="485"/>
      <c r="B23" s="509" t="s">
        <v>311</v>
      </c>
      <c r="C23" s="474" t="s">
        <v>312</v>
      </c>
      <c r="D23" s="464"/>
      <c r="E23" s="466"/>
      <c r="F23" s="467" t="s">
        <v>275</v>
      </c>
      <c r="G23" s="510" t="str">
        <f>IF(T14=T2,'Extra Ded. '!E18,"0")</f>
        <v>0</v>
      </c>
      <c r="H23" s="509" t="s">
        <v>313</v>
      </c>
      <c r="I23" s="513" t="s">
        <v>314</v>
      </c>
      <c r="J23" s="464"/>
      <c r="K23" s="466"/>
      <c r="L23" s="467" t="s">
        <v>275</v>
      </c>
      <c r="M23" s="515" t="str">
        <f>IF(T14=T2,'Extra Ded. '!E19,"0")</f>
        <v>0</v>
      </c>
      <c r="N23" s="486"/>
      <c r="O23" s="487"/>
      <c r="P23" s="444"/>
      <c r="V23" s="1"/>
      <c r="W23" s="1"/>
      <c r="X23" s="1"/>
      <c r="Y23" s="1"/>
      <c r="Z23" s="516" t="str">
        <f>IF(AA23&gt;AB23,AB23,AA23)</f>
        <v>#ERROR!</v>
      </c>
      <c r="AA23" s="1" t="str">
        <f>IF('Master Data'!I31='GA55 Check &amp; Edit'!AN5,0,ROUND(10%*'GA55 Only Print'!M27,0))</f>
        <v>#ERROR!</v>
      </c>
      <c r="AB23" s="516">
        <f>IF('Master Data'!I31='GA55 Check &amp; Edit'!AN6,'GA55 Only Print'!O27,0)</f>
        <v>7493</v>
      </c>
      <c r="AC23" s="1"/>
      <c r="AD23" s="1"/>
      <c r="AE23" s="1"/>
      <c r="AF23" s="1"/>
      <c r="AG23" s="1"/>
      <c r="AH23" s="517"/>
      <c r="AI23" s="517"/>
      <c r="AJ23" s="517"/>
      <c r="AK23" s="517"/>
    </row>
    <row r="24" ht="15.75" customHeight="1">
      <c r="A24" s="485"/>
      <c r="B24" s="509" t="s">
        <v>315</v>
      </c>
      <c r="C24" s="474" t="s">
        <v>316</v>
      </c>
      <c r="D24" s="464"/>
      <c r="E24" s="466"/>
      <c r="F24" s="467" t="s">
        <v>275</v>
      </c>
      <c r="G24" s="510" t="str">
        <f>IF(T14=T2,'Extra Ded. '!E20,"0")</f>
        <v>0</v>
      </c>
      <c r="H24" s="509" t="s">
        <v>317</v>
      </c>
      <c r="I24" s="513" t="s">
        <v>318</v>
      </c>
      <c r="J24" s="464"/>
      <c r="K24" s="466"/>
      <c r="L24" s="467" t="s">
        <v>275</v>
      </c>
      <c r="M24" s="515" t="str">
        <f>IF(T14=T2,'Extra Ded. '!E16,"0")</f>
        <v>0</v>
      </c>
      <c r="N24" s="486"/>
      <c r="O24" s="487"/>
      <c r="P24" s="444"/>
      <c r="V24" s="1"/>
      <c r="W24" s="1"/>
      <c r="X24" s="1"/>
      <c r="Y24" s="1"/>
      <c r="Z24" s="516">
        <f>SUM(G21:G31)+SUM(M22:M30)+O33</f>
        <v>0</v>
      </c>
      <c r="AA24" s="1" t="str">
        <f>IF('Extra Ded. '!K14&gt;50000,50000,'Extra Ded. '!K14)</f>
        <v/>
      </c>
      <c r="AB24" s="1">
        <f>IF(Z24&gt;150000,Z24-150000,0)</f>
        <v>0</v>
      </c>
      <c r="AC24" s="1"/>
      <c r="AD24" s="1"/>
      <c r="AE24" s="1"/>
      <c r="AF24" s="1"/>
      <c r="AG24" s="1"/>
      <c r="AH24" s="517"/>
      <c r="AI24" s="517"/>
      <c r="AJ24" s="517"/>
      <c r="AK24" s="517"/>
    </row>
    <row r="25" ht="15.75" customHeight="1">
      <c r="A25" s="485"/>
      <c r="B25" s="509" t="s">
        <v>319</v>
      </c>
      <c r="C25" s="474" t="s">
        <v>320</v>
      </c>
      <c r="D25" s="464"/>
      <c r="E25" s="466"/>
      <c r="F25" s="467" t="s">
        <v>275</v>
      </c>
      <c r="G25" s="510" t="str">
        <f>IF(T14=T2,'Extra Ded. '!E21,"0")</f>
        <v>0</v>
      </c>
      <c r="H25" s="509" t="s">
        <v>321</v>
      </c>
      <c r="I25" s="513" t="s">
        <v>322</v>
      </c>
      <c r="J25" s="464"/>
      <c r="K25" s="466"/>
      <c r="L25" s="467" t="s">
        <v>275</v>
      </c>
      <c r="M25" s="510" t="str">
        <f>IF(T14=T2,'Extra Ded. '!K6,"0")</f>
        <v>0</v>
      </c>
      <c r="N25" s="486"/>
      <c r="O25" s="487"/>
      <c r="P25" s="482"/>
      <c r="Q25" s="482"/>
      <c r="R25" s="1"/>
      <c r="S25" s="51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5.75" customHeight="1">
      <c r="A26" s="485"/>
      <c r="B26" s="509" t="s">
        <v>323</v>
      </c>
      <c r="C26" s="474" t="s">
        <v>324</v>
      </c>
      <c r="D26" s="464"/>
      <c r="E26" s="466"/>
      <c r="F26" s="467" t="s">
        <v>275</v>
      </c>
      <c r="G26" s="510" t="str">
        <f>IF(AND(T14=T2,'Master Data'!I31='GA55 Check &amp; Edit'!AN5),'GA55 Only Print'!O27,"0")</f>
        <v>0</v>
      </c>
      <c r="H26" s="509" t="s">
        <v>325</v>
      </c>
      <c r="I26" s="513" t="s">
        <v>326</v>
      </c>
      <c r="J26" s="464"/>
      <c r="K26" s="466"/>
      <c r="L26" s="467" t="s">
        <v>275</v>
      </c>
      <c r="M26" s="510" t="str">
        <f>IF(T14=T2,'Extra Ded. '!K8,"0")</f>
        <v>0</v>
      </c>
      <c r="N26" s="486"/>
      <c r="O26" s="487"/>
      <c r="P26" s="482"/>
      <c r="Q26" s="518" t="s">
        <v>327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5.75" customHeight="1">
      <c r="A27" s="485"/>
      <c r="B27" s="509" t="s">
        <v>328</v>
      </c>
      <c r="C27" s="474" t="s">
        <v>329</v>
      </c>
      <c r="D27" s="464"/>
      <c r="E27" s="466"/>
      <c r="F27" s="467" t="s">
        <v>275</v>
      </c>
      <c r="G27" s="515" t="str">
        <f>IF(T14=T2,'GA55 Only Print'!Y27,"0")</f>
        <v>0</v>
      </c>
      <c r="H27" s="509" t="s">
        <v>330</v>
      </c>
      <c r="I27" s="474" t="s">
        <v>331</v>
      </c>
      <c r="J27" s="464"/>
      <c r="K27" s="466"/>
      <c r="L27" s="467" t="s">
        <v>275</v>
      </c>
      <c r="M27" s="510" t="str">
        <f>IF(T14=T2,'Extra Ded. '!E15,"0")</f>
        <v>0</v>
      </c>
      <c r="N27" s="486"/>
      <c r="O27" s="487"/>
      <c r="P27" s="482"/>
      <c r="V27" s="1"/>
      <c r="W27" s="1"/>
      <c r="X27" s="1"/>
      <c r="Y27" s="1"/>
      <c r="Z27" s="1"/>
      <c r="AA27" s="1">
        <f>IFERROR(SUM(Z23)-MIN(AA24,AB24),0)</f>
        <v>0</v>
      </c>
      <c r="AB27" s="1"/>
      <c r="AC27" s="1">
        <f>MIN(AA24,AB24)</f>
        <v>0</v>
      </c>
      <c r="AD27" s="1"/>
      <c r="AE27" s="1"/>
      <c r="AF27" s="1"/>
      <c r="AG27" s="1"/>
      <c r="AH27" s="1"/>
      <c r="AI27" s="1"/>
      <c r="AJ27" s="1"/>
      <c r="AK27" s="1"/>
    </row>
    <row r="28" ht="15.75" customHeight="1">
      <c r="A28" s="485"/>
      <c r="B28" s="509" t="s">
        <v>332</v>
      </c>
      <c r="C28" s="474" t="s">
        <v>333</v>
      </c>
      <c r="D28" s="464"/>
      <c r="E28" s="466"/>
      <c r="F28" s="467" t="s">
        <v>275</v>
      </c>
      <c r="G28" s="515" t="str">
        <f>IF(T14=T2,'Extra Ded. '!E17,"0")</f>
        <v>0</v>
      </c>
      <c r="H28" s="509" t="s">
        <v>334</v>
      </c>
      <c r="I28" s="519" t="s">
        <v>335</v>
      </c>
      <c r="J28" s="464"/>
      <c r="K28" s="466"/>
      <c r="L28" s="467" t="s">
        <v>275</v>
      </c>
      <c r="M28" s="510" t="str">
        <f>IF(T14=T2,'Extra Ded. '!K13,"0")</f>
        <v>0</v>
      </c>
      <c r="N28" s="486"/>
      <c r="O28" s="487"/>
      <c r="P28" s="482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5.75" customHeight="1">
      <c r="A29" s="485"/>
      <c r="B29" s="509" t="s">
        <v>336</v>
      </c>
      <c r="C29" s="474" t="s">
        <v>337</v>
      </c>
      <c r="D29" s="464"/>
      <c r="E29" s="466"/>
      <c r="F29" s="467" t="s">
        <v>275</v>
      </c>
      <c r="G29" s="515" t="str">
        <f>IF(T14=T2,'Extra Ded. '!E12,"0")</f>
        <v>0</v>
      </c>
      <c r="H29" s="509" t="s">
        <v>338</v>
      </c>
      <c r="I29" s="474" t="s">
        <v>339</v>
      </c>
      <c r="J29" s="464"/>
      <c r="K29" s="466"/>
      <c r="L29" s="467" t="s">
        <v>275</v>
      </c>
      <c r="M29" s="510" t="str">
        <f>IF(T14=T2,'Extra Ded. '!E22,"0")</f>
        <v>0</v>
      </c>
      <c r="N29" s="486"/>
      <c r="O29" s="487"/>
      <c r="P29" s="482"/>
      <c r="Q29" s="520"/>
      <c r="R29" s="520"/>
      <c r="S29" s="520"/>
      <c r="T29" s="1"/>
      <c r="U29" s="1"/>
      <c r="V29" s="1"/>
      <c r="W29" s="1"/>
      <c r="X29" s="1"/>
      <c r="Y29" s="1"/>
      <c r="Z29" s="1"/>
      <c r="AA29" s="1">
        <f>IF(Z24&gt;=200000,50000,AC27)</f>
        <v>0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5.75" customHeight="1">
      <c r="A30" s="485"/>
      <c r="B30" s="509" t="s">
        <v>340</v>
      </c>
      <c r="C30" s="474" t="s">
        <v>341</v>
      </c>
      <c r="D30" s="464"/>
      <c r="E30" s="466"/>
      <c r="F30" s="467" t="s">
        <v>275</v>
      </c>
      <c r="G30" s="510" t="str">
        <f>IF(T14=T2,'Extra Ded. '!E14,"0")</f>
        <v>0</v>
      </c>
      <c r="H30" s="509" t="s">
        <v>342</v>
      </c>
      <c r="I30" s="474" t="s">
        <v>343</v>
      </c>
      <c r="J30" s="464"/>
      <c r="K30" s="466"/>
      <c r="L30" s="467" t="s">
        <v>275</v>
      </c>
      <c r="M30" s="510" t="str">
        <f>IF(T14=T2,'Extra Ded. '!K10,"0")</f>
        <v>0</v>
      </c>
      <c r="N30" s="486"/>
      <c r="O30" s="487"/>
      <c r="P30" s="482"/>
      <c r="Q30" s="520"/>
      <c r="R30" s="520"/>
      <c r="S30" s="520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5.75" customHeight="1">
      <c r="A31" s="485"/>
      <c r="B31" s="509" t="s">
        <v>344</v>
      </c>
      <c r="C31" s="474" t="s">
        <v>345</v>
      </c>
      <c r="D31" s="464"/>
      <c r="E31" s="466"/>
      <c r="F31" s="467" t="s">
        <v>275</v>
      </c>
      <c r="G31" s="510" t="str">
        <f>IF(AND(T14=T2,'Master Data'!I31='GA55 Check &amp; Edit'!AN6),'GA55 Only Print'!O27,"0")</f>
        <v>0</v>
      </c>
      <c r="H31" s="521" t="s">
        <v>346</v>
      </c>
      <c r="I31" s="464"/>
      <c r="J31" s="464"/>
      <c r="K31" s="466"/>
      <c r="L31" s="467" t="s">
        <v>275</v>
      </c>
      <c r="M31" s="522">
        <f>SUM(G21:G31)+SUM(M21:M30)</f>
        <v>0</v>
      </c>
      <c r="N31" s="490"/>
      <c r="O31" s="491"/>
      <c r="P31" s="482"/>
      <c r="Q31" s="520"/>
      <c r="R31" s="520"/>
      <c r="S31" s="520"/>
      <c r="T31" s="1"/>
      <c r="U31" s="1"/>
      <c r="V31" s="1"/>
      <c r="W31" s="1"/>
      <c r="X31" s="1"/>
      <c r="Y31" s="1"/>
      <c r="Z31" s="1"/>
      <c r="AA31" s="1" t="str">
        <f>'Extra Ded. '!K22</f>
        <v/>
      </c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5.75" customHeight="1">
      <c r="A32" s="485"/>
      <c r="B32" s="477" t="s">
        <v>347</v>
      </c>
      <c r="C32" s="464"/>
      <c r="D32" s="464"/>
      <c r="E32" s="464"/>
      <c r="F32" s="464"/>
      <c r="G32" s="464"/>
      <c r="H32" s="464"/>
      <c r="I32" s="464"/>
      <c r="J32" s="464"/>
      <c r="K32" s="464"/>
      <c r="L32" s="464"/>
      <c r="M32" s="466"/>
      <c r="N32" s="467" t="s">
        <v>275</v>
      </c>
      <c r="O32" s="468">
        <f>IF(M31&lt;150001,ROUND(M31,0),150000)</f>
        <v>0</v>
      </c>
      <c r="P32" s="469"/>
      <c r="Q32" s="470"/>
      <c r="R32" s="1"/>
      <c r="S32" s="523"/>
      <c r="T32" s="228"/>
      <c r="U32" s="228"/>
      <c r="V32" s="228"/>
      <c r="W32" s="228"/>
      <c r="X32" s="1"/>
      <c r="Y32" s="1"/>
      <c r="Z32" s="1"/>
      <c r="AA32" s="1" t="str">
        <f>IF(AA31&gt;10000,10000,AA31)</f>
        <v/>
      </c>
      <c r="AB32" s="1" t="str">
        <f>IF(AA31&gt;50000,50000,AA31)</f>
        <v/>
      </c>
      <c r="AC32" s="1"/>
      <c r="AD32" s="1"/>
      <c r="AE32" s="1"/>
      <c r="AF32" s="1"/>
      <c r="AG32" s="1"/>
      <c r="AH32" s="1"/>
      <c r="AI32" s="1"/>
      <c r="AJ32" s="1"/>
      <c r="AK32" s="1"/>
    </row>
    <row r="33" ht="15.75" customHeight="1">
      <c r="A33" s="485"/>
      <c r="B33" s="524" t="s">
        <v>348</v>
      </c>
      <c r="C33" s="464"/>
      <c r="D33" s="464"/>
      <c r="E33" s="464"/>
      <c r="F33" s="464"/>
      <c r="G33" s="464"/>
      <c r="H33" s="464"/>
      <c r="I33" s="464"/>
      <c r="J33" s="464"/>
      <c r="K33" s="464"/>
      <c r="L33" s="464"/>
      <c r="M33" s="466"/>
      <c r="N33" s="467" t="s">
        <v>275</v>
      </c>
      <c r="O33" s="468">
        <v>0.0</v>
      </c>
      <c r="P33" s="475"/>
      <c r="Q33" s="470"/>
      <c r="R33" s="525"/>
      <c r="T33" s="228"/>
      <c r="U33" s="228"/>
      <c r="V33" s="228"/>
      <c r="W33" s="228"/>
      <c r="X33" s="1"/>
      <c r="Y33" s="1"/>
      <c r="Z33" s="1"/>
      <c r="AA33" s="1" t="str">
        <f>IF('Master Data'!E25="Under 60",AA32,IF('Master Data'!E25="Above 60",AB32,IF('Master Data'!E25="Above 80",AB32,0)))</f>
        <v/>
      </c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5.75" customHeight="1">
      <c r="A34" s="485"/>
      <c r="B34" s="511" t="s">
        <v>349</v>
      </c>
      <c r="C34" s="464"/>
      <c r="D34" s="464"/>
      <c r="E34" s="464"/>
      <c r="F34" s="464"/>
      <c r="G34" s="464"/>
      <c r="H34" s="464"/>
      <c r="I34" s="464"/>
      <c r="J34" s="464"/>
      <c r="K34" s="464"/>
      <c r="L34" s="464"/>
      <c r="M34" s="466"/>
      <c r="N34" s="467" t="s">
        <v>275</v>
      </c>
      <c r="O34" s="526">
        <f>IF(T14=T1,0,'Extra Ded. '!K14)</f>
        <v>0</v>
      </c>
      <c r="P34" s="475"/>
      <c r="Q34" s="475"/>
      <c r="R34" s="228"/>
      <c r="T34" s="527" t="b">
        <v>0</v>
      </c>
      <c r="U34" s="228"/>
      <c r="V34" s="228"/>
      <c r="W34" s="228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7.25" customHeight="1">
      <c r="A35" s="492"/>
      <c r="B35" s="477" t="s">
        <v>350</v>
      </c>
      <c r="C35" s="464"/>
      <c r="D35" s="464"/>
      <c r="E35" s="464"/>
      <c r="F35" s="464"/>
      <c r="G35" s="464"/>
      <c r="H35" s="464"/>
      <c r="I35" s="464"/>
      <c r="J35" s="464"/>
      <c r="K35" s="464"/>
      <c r="L35" s="464"/>
      <c r="M35" s="466"/>
      <c r="N35" s="467" t="s">
        <v>275</v>
      </c>
      <c r="O35" s="468">
        <f>SUM(O32:O34)</f>
        <v>0</v>
      </c>
      <c r="P35" s="469"/>
      <c r="Q35" s="469"/>
      <c r="R35" s="228"/>
      <c r="S35" s="228"/>
      <c r="T35" s="228"/>
      <c r="U35" s="228"/>
      <c r="V35" s="228"/>
      <c r="W35" s="228"/>
      <c r="X35" s="1"/>
      <c r="Y35" s="1"/>
      <c r="Z35" s="1"/>
      <c r="AA35" s="1"/>
      <c r="AB35" s="1" t="str">
        <f>IF('Extra Ded. '!K14&gt;50000,50000,'Extra Ded. '!K14)</f>
        <v/>
      </c>
      <c r="AC35" s="1"/>
      <c r="AD35" s="1"/>
      <c r="AE35" s="1"/>
      <c r="AF35" s="1"/>
      <c r="AG35" s="1"/>
      <c r="AH35" s="1"/>
      <c r="AI35" s="1"/>
      <c r="AJ35" s="1"/>
      <c r="AK35" s="1"/>
    </row>
    <row r="36" ht="15.75" customHeight="1">
      <c r="A36" s="478">
        <v>12.0</v>
      </c>
      <c r="B36" s="504" t="s">
        <v>351</v>
      </c>
      <c r="C36" s="464"/>
      <c r="D36" s="464"/>
      <c r="E36" s="464"/>
      <c r="F36" s="464"/>
      <c r="G36" s="464"/>
      <c r="H36" s="464"/>
      <c r="I36" s="464"/>
      <c r="J36" s="464"/>
      <c r="K36" s="464"/>
      <c r="L36" s="464"/>
      <c r="M36" s="464"/>
      <c r="N36" s="464"/>
      <c r="O36" s="505"/>
      <c r="P36" s="506"/>
      <c r="Q36" s="506"/>
      <c r="R36" s="228"/>
      <c r="S36" s="228"/>
      <c r="T36" s="527" t="b">
        <v>1</v>
      </c>
      <c r="U36" s="228"/>
      <c r="V36" s="228"/>
      <c r="W36" s="228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5.75" customHeight="1">
      <c r="A37" s="485"/>
      <c r="B37" s="474" t="s">
        <v>352</v>
      </c>
      <c r="C37" s="464"/>
      <c r="D37" s="464"/>
      <c r="E37" s="464"/>
      <c r="F37" s="464"/>
      <c r="G37" s="464"/>
      <c r="H37" s="464"/>
      <c r="I37" s="464"/>
      <c r="J37" s="464"/>
      <c r="K37" s="464"/>
      <c r="L37" s="464"/>
      <c r="M37" s="466"/>
      <c r="N37" s="467" t="s">
        <v>275</v>
      </c>
      <c r="O37" s="528" t="str">
        <f>IF(T14=T2,'Extra Ded. '!K15,"0")</f>
        <v>0</v>
      </c>
      <c r="P37" s="475"/>
      <c r="Q37" s="475"/>
      <c r="R37" s="228"/>
      <c r="S37" s="228"/>
      <c r="T37" s="228"/>
      <c r="U37" s="228"/>
      <c r="V37" s="228"/>
      <c r="W37" s="228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5.75" customHeight="1">
      <c r="A38" s="485"/>
      <c r="B38" s="474" t="s">
        <v>353</v>
      </c>
      <c r="C38" s="464"/>
      <c r="D38" s="464"/>
      <c r="E38" s="464"/>
      <c r="F38" s="464"/>
      <c r="G38" s="464"/>
      <c r="H38" s="464"/>
      <c r="I38" s="464"/>
      <c r="J38" s="464"/>
      <c r="K38" s="464"/>
      <c r="L38" s="464"/>
      <c r="M38" s="466"/>
      <c r="N38" s="467" t="s">
        <v>275</v>
      </c>
      <c r="O38" s="528" t="str">
        <f>IF(T14=T2,'Extra Ded. '!K16,"0")</f>
        <v>0</v>
      </c>
      <c r="P38" s="475"/>
      <c r="Q38" s="475"/>
      <c r="R38" s="1"/>
      <c r="S38" s="1"/>
      <c r="T38" s="1"/>
      <c r="U38" s="1"/>
      <c r="V38" s="1"/>
      <c r="W38" s="1"/>
      <c r="X38" s="1"/>
      <c r="Y38" s="1"/>
      <c r="Z38" s="1"/>
      <c r="AA38" s="1"/>
      <c r="AB38" s="516">
        <f>'GA55 Only Print'!N27+'GA55 Only Print'!P27+'Extra Ded. '!E18+'Extra Ded. '!E20+'Extra Ded. '!E21+'GA55 Only Print'!O27+'GA55 Only Print'!Y27+'Extra Ded. '!E17+'Extra Ded. '!E12+'Extra Ded. '!E14+'Extra Ded. '!K12+'Extra Ded. '!E19+'Extra Ded. '!E16+'Extra Ded. '!K6+'Extra Ded. '!K8+'Extra Ded. '!E15+'Extra Ded. '!K10+'Extra Ded. '!E22+'Extra Ded. '!E24</f>
        <v>7493</v>
      </c>
      <c r="AC38" s="1"/>
      <c r="AD38" s="1"/>
      <c r="AE38" s="1"/>
      <c r="AF38" s="1"/>
      <c r="AG38" s="1"/>
      <c r="AH38" s="1"/>
      <c r="AI38" s="1"/>
      <c r="AJ38" s="1"/>
      <c r="AK38" s="1"/>
    </row>
    <row r="39" ht="15.75" customHeight="1">
      <c r="A39" s="485"/>
      <c r="B39" s="474" t="s">
        <v>354</v>
      </c>
      <c r="C39" s="464"/>
      <c r="D39" s="464"/>
      <c r="E39" s="464"/>
      <c r="F39" s="464"/>
      <c r="G39" s="464"/>
      <c r="H39" s="464"/>
      <c r="I39" s="464"/>
      <c r="J39" s="464"/>
      <c r="K39" s="464"/>
      <c r="L39" s="464"/>
      <c r="M39" s="466"/>
      <c r="N39" s="467" t="s">
        <v>275</v>
      </c>
      <c r="O39" s="528" t="str">
        <f>IF(T14=T2,'Extra Ded. '!K17,"0")</f>
        <v>0</v>
      </c>
      <c r="P39" s="475"/>
      <c r="Q39" s="475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5.75" customHeight="1">
      <c r="A40" s="485"/>
      <c r="B40" s="474" t="s">
        <v>355</v>
      </c>
      <c r="C40" s="464"/>
      <c r="D40" s="464"/>
      <c r="E40" s="464"/>
      <c r="F40" s="464"/>
      <c r="G40" s="464"/>
      <c r="H40" s="464"/>
      <c r="I40" s="464"/>
      <c r="J40" s="464"/>
      <c r="K40" s="464"/>
      <c r="L40" s="464"/>
      <c r="M40" s="466"/>
      <c r="N40" s="467" t="s">
        <v>275</v>
      </c>
      <c r="O40" s="528" t="str">
        <f>IF(T14=T2,'Extra Ded. '!K18,"0")</f>
        <v>0</v>
      </c>
      <c r="P40" s="475"/>
      <c r="Q40" s="475"/>
      <c r="R40" s="1"/>
      <c r="S40" s="1"/>
      <c r="T40" s="1"/>
      <c r="U40" s="1"/>
      <c r="V40" s="1"/>
      <c r="W40" s="1"/>
      <c r="X40" s="1"/>
      <c r="Y40" s="1"/>
      <c r="Z40" s="1"/>
      <c r="AA40" s="1"/>
      <c r="AB40" s="516">
        <f>'Extra Ded. '!K15+'Extra Ded. '!K16+'Extra Ded. '!K17+'Extra Ded. '!K18+('Extra Ded. '!K19+'GA55 Only Print'!U27)+'Extra Ded. '!K20+AA33+'Extra Ded. '!K22</f>
        <v>1400</v>
      </c>
      <c r="AC40" s="1"/>
      <c r="AD40" s="1"/>
      <c r="AE40" s="1"/>
      <c r="AF40" s="1"/>
      <c r="AG40" s="1"/>
      <c r="AH40" s="1"/>
      <c r="AI40" s="1"/>
      <c r="AJ40" s="1"/>
      <c r="AK40" s="1"/>
    </row>
    <row r="41" ht="15.75" customHeight="1">
      <c r="A41" s="485"/>
      <c r="B41" s="474" t="s">
        <v>356</v>
      </c>
      <c r="C41" s="464"/>
      <c r="D41" s="464"/>
      <c r="E41" s="464"/>
      <c r="F41" s="464"/>
      <c r="G41" s="464"/>
      <c r="H41" s="464"/>
      <c r="I41" s="464"/>
      <c r="J41" s="464"/>
      <c r="K41" s="464"/>
      <c r="L41" s="464"/>
      <c r="M41" s="466"/>
      <c r="N41" s="467" t="s">
        <v>275</v>
      </c>
      <c r="O41" s="528" t="str">
        <f>IF(T14=T2,('Extra Ded. '!K19),"0")</f>
        <v>0</v>
      </c>
      <c r="P41" s="475"/>
      <c r="Q41" s="475"/>
      <c r="R41" s="529"/>
      <c r="S41" s="529"/>
      <c r="T41" s="529"/>
      <c r="U41" s="529"/>
      <c r="V41" s="529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5.75" customHeight="1">
      <c r="A42" s="485"/>
      <c r="B42" s="474" t="s">
        <v>357</v>
      </c>
      <c r="C42" s="464"/>
      <c r="D42" s="464"/>
      <c r="E42" s="464"/>
      <c r="F42" s="464"/>
      <c r="G42" s="464"/>
      <c r="H42" s="464"/>
      <c r="I42" s="464"/>
      <c r="J42" s="464"/>
      <c r="K42" s="464"/>
      <c r="L42" s="464"/>
      <c r="M42" s="466"/>
      <c r="N42" s="467" t="s">
        <v>275</v>
      </c>
      <c r="O42" s="528" t="str">
        <f>IF(T14=T2,'Extra Ded. '!K21,"0")</f>
        <v>0</v>
      </c>
      <c r="P42" s="475"/>
      <c r="Q42" s="475"/>
      <c r="R42" s="529"/>
      <c r="S42" s="529"/>
      <c r="T42" s="529"/>
      <c r="U42" s="529"/>
      <c r="V42" s="529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5.75" customHeight="1">
      <c r="A43" s="485"/>
      <c r="B43" s="474" t="s">
        <v>358</v>
      </c>
      <c r="C43" s="464"/>
      <c r="D43" s="464"/>
      <c r="E43" s="464"/>
      <c r="F43" s="464"/>
      <c r="G43" s="464"/>
      <c r="H43" s="464"/>
      <c r="I43" s="464"/>
      <c r="J43" s="464"/>
      <c r="K43" s="464"/>
      <c r="L43" s="464"/>
      <c r="M43" s="466"/>
      <c r="N43" s="467" t="s">
        <v>275</v>
      </c>
      <c r="O43" s="528" t="str">
        <f>IF(T14=T2,AA33,"0")</f>
        <v>0</v>
      </c>
      <c r="P43" s="475"/>
      <c r="Q43" s="475"/>
      <c r="R43" s="529"/>
      <c r="S43" s="529"/>
      <c r="T43" s="529"/>
      <c r="U43" s="529"/>
      <c r="V43" s="529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5.75" customHeight="1">
      <c r="A44" s="485"/>
      <c r="B44" s="474" t="s">
        <v>359</v>
      </c>
      <c r="C44" s="464"/>
      <c r="D44" s="464"/>
      <c r="E44" s="464"/>
      <c r="F44" s="464"/>
      <c r="G44" s="464"/>
      <c r="H44" s="464"/>
      <c r="I44" s="464"/>
      <c r="J44" s="464"/>
      <c r="K44" s="464"/>
      <c r="L44" s="464"/>
      <c r="M44" s="466"/>
      <c r="N44" s="467" t="s">
        <v>275</v>
      </c>
      <c r="O44" s="528" t="str">
        <f>IF(T14=T2,'Extra Ded. '!K23,"0")</f>
        <v>0</v>
      </c>
      <c r="P44" s="475"/>
      <c r="Q44" s="475"/>
      <c r="R44" s="530"/>
      <c r="S44" s="530"/>
      <c r="T44" s="530"/>
      <c r="U44" s="530"/>
      <c r="V44" s="530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5.75" customHeight="1">
      <c r="A45" s="485"/>
      <c r="B45" s="474" t="s">
        <v>360</v>
      </c>
      <c r="C45" s="464"/>
      <c r="D45" s="464"/>
      <c r="E45" s="464"/>
      <c r="F45" s="464"/>
      <c r="G45" s="464"/>
      <c r="H45" s="464"/>
      <c r="I45" s="464"/>
      <c r="J45" s="464"/>
      <c r="K45" s="464"/>
      <c r="L45" s="464"/>
      <c r="M45" s="466"/>
      <c r="N45" s="467" t="s">
        <v>275</v>
      </c>
      <c r="O45" s="528" t="str">
        <f>IF(T14=T2,'Extra Ded. '!E25,"0")</f>
        <v>0</v>
      </c>
      <c r="P45" s="475"/>
      <c r="Q45" s="475"/>
      <c r="R45" s="531"/>
      <c r="S45" s="531"/>
      <c r="T45" s="532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5.75" customHeight="1">
      <c r="A46" s="485"/>
      <c r="B46" s="474" t="s">
        <v>361</v>
      </c>
      <c r="C46" s="464"/>
      <c r="D46" s="464"/>
      <c r="E46" s="464"/>
      <c r="F46" s="464"/>
      <c r="G46" s="464"/>
      <c r="H46" s="464"/>
      <c r="I46" s="464"/>
      <c r="J46" s="464"/>
      <c r="K46" s="464"/>
      <c r="L46" s="464"/>
      <c r="M46" s="466"/>
      <c r="N46" s="467" t="s">
        <v>275</v>
      </c>
      <c r="O46" s="528"/>
      <c r="P46" s="475"/>
      <c r="Q46" s="475"/>
      <c r="R46" s="531"/>
      <c r="S46" s="531"/>
      <c r="T46" s="532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5.75" customHeight="1">
      <c r="A47" s="492"/>
      <c r="B47" s="477" t="s">
        <v>362</v>
      </c>
      <c r="C47" s="464"/>
      <c r="D47" s="464"/>
      <c r="E47" s="464"/>
      <c r="F47" s="464"/>
      <c r="G47" s="464"/>
      <c r="H47" s="464"/>
      <c r="I47" s="464"/>
      <c r="J47" s="464"/>
      <c r="K47" s="464"/>
      <c r="L47" s="464"/>
      <c r="M47" s="466"/>
      <c r="N47" s="467" t="s">
        <v>275</v>
      </c>
      <c r="O47" s="468">
        <f>SUM(O37:O46)</f>
        <v>0</v>
      </c>
      <c r="P47" s="533"/>
      <c r="Q47" s="533"/>
      <c r="R47" s="531"/>
      <c r="S47" s="531"/>
      <c r="T47" s="532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5.75" customHeight="1">
      <c r="A48" s="473">
        <v>13.0</v>
      </c>
      <c r="B48" s="534" t="s">
        <v>363</v>
      </c>
      <c r="C48" s="464"/>
      <c r="D48" s="464"/>
      <c r="E48" s="464"/>
      <c r="F48" s="464"/>
      <c r="G48" s="464"/>
      <c r="H48" s="464"/>
      <c r="I48" s="464"/>
      <c r="J48" s="464"/>
      <c r="K48" s="464"/>
      <c r="L48" s="464"/>
      <c r="M48" s="466"/>
      <c r="N48" s="467" t="s">
        <v>275</v>
      </c>
      <c r="O48" s="468">
        <f>O35+O47</f>
        <v>0</v>
      </c>
      <c r="P48" s="475"/>
      <c r="Q48" s="475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5.75" customHeight="1">
      <c r="A49" s="473">
        <v>14.0</v>
      </c>
      <c r="B49" s="477" t="s">
        <v>364</v>
      </c>
      <c r="C49" s="464"/>
      <c r="D49" s="464"/>
      <c r="E49" s="464"/>
      <c r="F49" s="464"/>
      <c r="G49" s="464"/>
      <c r="H49" s="464"/>
      <c r="I49" s="464"/>
      <c r="J49" s="464"/>
      <c r="K49" s="464"/>
      <c r="L49" s="464"/>
      <c r="M49" s="466"/>
      <c r="N49" s="467" t="s">
        <v>275</v>
      </c>
      <c r="O49" s="468" t="str">
        <f>(O18-O48)</f>
        <v>#ERROR!</v>
      </c>
      <c r="P49" s="475"/>
      <c r="Q49" s="475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5.75" customHeight="1">
      <c r="A50" s="473">
        <v>15.0</v>
      </c>
      <c r="B50" s="474" t="s">
        <v>365</v>
      </c>
      <c r="C50" s="464"/>
      <c r="D50" s="464"/>
      <c r="E50" s="464"/>
      <c r="F50" s="464"/>
      <c r="G50" s="464"/>
      <c r="H50" s="464"/>
      <c r="I50" s="464"/>
      <c r="J50" s="464"/>
      <c r="K50" s="464"/>
      <c r="L50" s="464"/>
      <c r="M50" s="466"/>
      <c r="N50" s="467" t="s">
        <v>275</v>
      </c>
      <c r="O50" s="468" t="str">
        <f>ROUND(O49,-1)</f>
        <v>#ERROR!</v>
      </c>
      <c r="P50" s="469"/>
      <c r="Q50" s="469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5.75" customHeight="1">
      <c r="A51" s="478">
        <v>16.0</v>
      </c>
      <c r="B51" s="474" t="s">
        <v>366</v>
      </c>
      <c r="C51" s="464"/>
      <c r="D51" s="464"/>
      <c r="E51" s="464"/>
      <c r="F51" s="464"/>
      <c r="G51" s="464"/>
      <c r="H51" s="464"/>
      <c r="I51" s="464"/>
      <c r="J51" s="464"/>
      <c r="K51" s="464"/>
      <c r="L51" s="464"/>
      <c r="M51" s="464"/>
      <c r="N51" s="464"/>
      <c r="O51" s="505"/>
      <c r="P51" s="535"/>
      <c r="Q51" s="535"/>
      <c r="R51" s="1"/>
      <c r="S51" s="1"/>
      <c r="T51" s="1"/>
      <c r="U51" s="1"/>
      <c r="V51" s="1"/>
      <c r="W51" s="1"/>
      <c r="X51" s="23" t="s">
        <v>367</v>
      </c>
      <c r="AA51" s="1"/>
      <c r="AB51" s="23" t="s">
        <v>368</v>
      </c>
      <c r="AE51" s="1"/>
      <c r="AF51" s="1"/>
      <c r="AG51" s="1"/>
      <c r="AH51" s="1"/>
      <c r="AI51" s="1"/>
      <c r="AJ51" s="1"/>
      <c r="AK51" s="1"/>
    </row>
    <row r="52" ht="15.75" customHeight="1">
      <c r="A52" s="485"/>
      <c r="B52" s="536" t="s">
        <v>369</v>
      </c>
      <c r="C52" s="464"/>
      <c r="D52" s="464"/>
      <c r="E52" s="464"/>
      <c r="F52" s="464"/>
      <c r="G52" s="464"/>
      <c r="H52" s="464"/>
      <c r="I52" s="466"/>
      <c r="J52" s="536" t="s">
        <v>370</v>
      </c>
      <c r="K52" s="464"/>
      <c r="L52" s="464"/>
      <c r="M52" s="464"/>
      <c r="N52" s="466"/>
      <c r="O52" s="537"/>
      <c r="P52" s="538"/>
      <c r="Q52" s="538"/>
      <c r="R52" s="1"/>
      <c r="S52" s="1"/>
      <c r="T52" s="1"/>
      <c r="U52" s="1"/>
      <c r="V52" s="1"/>
      <c r="W52" s="1"/>
      <c r="X52" s="1">
        <v>0.0</v>
      </c>
      <c r="Y52" s="1">
        <v>0.0</v>
      </c>
      <c r="Z52" s="1">
        <v>0.0</v>
      </c>
      <c r="AA52" s="539">
        <v>0.0</v>
      </c>
      <c r="AB52" s="1">
        <v>0.0</v>
      </c>
      <c r="AC52" s="1">
        <v>0.0</v>
      </c>
      <c r="AD52" s="1">
        <v>0.0</v>
      </c>
      <c r="AE52" s="540">
        <v>0.0</v>
      </c>
      <c r="AF52" s="1"/>
      <c r="AG52" s="1"/>
      <c r="AH52" s="1"/>
      <c r="AI52" s="1"/>
      <c r="AJ52" s="1"/>
      <c r="AK52" s="1"/>
    </row>
    <row r="53" ht="15.75" customHeight="1">
      <c r="A53" s="485"/>
      <c r="B53" s="541" t="s">
        <v>371</v>
      </c>
      <c r="C53" s="464"/>
      <c r="D53" s="464"/>
      <c r="E53" s="464"/>
      <c r="F53" s="464"/>
      <c r="G53" s="464"/>
      <c r="H53" s="466"/>
      <c r="I53" s="542">
        <v>0.0</v>
      </c>
      <c r="J53" s="541" t="s">
        <v>372</v>
      </c>
      <c r="K53" s="464"/>
      <c r="L53" s="466"/>
      <c r="M53" s="542">
        <v>0.0</v>
      </c>
      <c r="N53" s="467" t="s">
        <v>275</v>
      </c>
      <c r="O53" s="543">
        <v>0.0</v>
      </c>
      <c r="P53" s="544"/>
      <c r="Q53" s="544"/>
      <c r="R53" s="545"/>
      <c r="S53" s="1"/>
      <c r="T53" s="1"/>
      <c r="U53" s="1"/>
      <c r="V53" s="1"/>
      <c r="W53" s="1"/>
      <c r="X53" s="1" t="str">
        <f>ROUND(IF(O50&lt;=250000,0,IF(O50&gt;=500000,12500,IF(O50&lt;=500000,0+(O50-250000)*0.05))),0)</f>
        <v>#ERROR!</v>
      </c>
      <c r="Y53" s="1" t="str">
        <f>ROUND(IF(O50&lt;=300000,0,IF(O50&gt;=500000,10000,IF(O50&lt;=500000,(O50-300000)*0.05))),0)</f>
        <v>#ERROR!</v>
      </c>
      <c r="Z53" s="1">
        <v>0.0</v>
      </c>
      <c r="AA53" s="539" t="str">
        <f>IF('Master Data'!$E$25="Under 60",X53,IF('Master Data'!$E$25="Above 60",Y53,Z53))</f>
        <v>#ERROR!</v>
      </c>
      <c r="AB53" s="1" t="str">
        <f>ROUND(IF(O50&lt;400001,0,IF(O50&gt;800001,20000,((O50-400000)*0.05))),0)</f>
        <v>#ERROR!</v>
      </c>
      <c r="AC53" s="1" t="str">
        <f>ROUND(IF(O50&lt;400001,0,IF(O50&gt;800001,20000,((O50-400000)*0.05))),0)</f>
        <v>#ERROR!</v>
      </c>
      <c r="AD53" s="1" t="str">
        <f>ROUND(IF(O50&lt;400001,0,IF(O50&gt;800001,20000,((O50-400000)*0.05))),0)</f>
        <v>#ERROR!</v>
      </c>
      <c r="AE53" s="540" t="str">
        <f>IF('Master Data'!$E$25="Under 60",AB53,IF('Master Data'!$E$25="Above 60",AC53,AD53))</f>
        <v>#ERROR!</v>
      </c>
      <c r="AF53" s="1"/>
      <c r="AG53" s="1"/>
      <c r="AH53" s="1"/>
      <c r="AI53" s="1"/>
      <c r="AJ53" s="1"/>
      <c r="AK53" s="1"/>
    </row>
    <row r="54" ht="15.75" customHeight="1">
      <c r="A54" s="485"/>
      <c r="B54" s="541" t="s">
        <v>373</v>
      </c>
      <c r="C54" s="464"/>
      <c r="D54" s="464"/>
      <c r="E54" s="464"/>
      <c r="F54" s="464"/>
      <c r="G54" s="464"/>
      <c r="H54" s="466"/>
      <c r="I54" s="542">
        <v>0.05</v>
      </c>
      <c r="J54" s="541" t="s">
        <v>374</v>
      </c>
      <c r="K54" s="464"/>
      <c r="L54" s="466"/>
      <c r="M54" s="542">
        <v>0.05</v>
      </c>
      <c r="N54" s="467" t="s">
        <v>275</v>
      </c>
      <c r="O54" s="543" t="str">
        <f t="shared" ref="O54:O58" si="1">IF($T$14=$T$2,AA53,AE53)</f>
        <v>#ERROR!</v>
      </c>
      <c r="P54" s="544"/>
      <c r="Q54" s="544"/>
      <c r="R54" s="1"/>
      <c r="S54" s="1"/>
      <c r="T54" s="1"/>
      <c r="U54" s="1"/>
      <c r="V54" s="1"/>
      <c r="W54" s="1"/>
      <c r="X54" s="1" t="str">
        <f>ROUND(IF(O50&lt;=500000,0,IF(O50&gt;=1000000,100000,IF(O50&lt;=1000000,(O50-500000)*0.2,"0"))),0)</f>
        <v>#ERROR!</v>
      </c>
      <c r="Y54" s="1" t="str">
        <f>ROUND(IF(O50&lt;=500000,0,IF(O50&gt;=1000000,100000,IF(O50&lt;=1000000,(O50-500000)*0.2,"0"))),0)</f>
        <v>#ERROR!</v>
      </c>
      <c r="Z54" s="1" t="str">
        <f>ROUND(IF(O50&lt;=500000,0,IF(O50&gt;=1000000,100000,IF(O50&lt;=1000000,(O50-500000)*0.2,"0"))),0)</f>
        <v>#ERROR!</v>
      </c>
      <c r="AA54" s="539" t="str">
        <f>IF('Master Data'!$E$25="Under 60",X54,IF('Master Data'!$E$25="Above 60",Y54,Z54))</f>
        <v>#ERROR!</v>
      </c>
      <c r="AB54" s="1" t="str">
        <f>ROUND(IF(O50&lt;800001,0,IF(O50&gt;1200001,40000,((O50-800000)*0.1))),0)</f>
        <v>#ERROR!</v>
      </c>
      <c r="AC54" s="1" t="str">
        <f>ROUND(IF(O50&lt;800001,0,IF(O50&gt;1200001,40000,((O50-800000)*0.1))),0)</f>
        <v>#ERROR!</v>
      </c>
      <c r="AD54" s="1" t="str">
        <f>ROUND(IF(O50&lt;800001,0,IF(O50&gt;1200001,30000,((O50-800000)*0.1))),0)</f>
        <v>#ERROR!</v>
      </c>
      <c r="AE54" s="540" t="str">
        <f>IF('Master Data'!$E$25="Under 60",AB54,IF('Master Data'!$E$25="Above 60",AC54,AD54))</f>
        <v>#ERROR!</v>
      </c>
      <c r="AF54" s="1"/>
      <c r="AG54" s="1"/>
      <c r="AH54" s="1"/>
      <c r="AI54" s="1"/>
      <c r="AJ54" s="1"/>
      <c r="AK54" s="1"/>
    </row>
    <row r="55" ht="15.75" customHeight="1">
      <c r="A55" s="485"/>
      <c r="B55" s="541" t="s">
        <v>375</v>
      </c>
      <c r="C55" s="464"/>
      <c r="D55" s="464"/>
      <c r="E55" s="464"/>
      <c r="F55" s="464"/>
      <c r="G55" s="464"/>
      <c r="H55" s="466"/>
      <c r="I55" s="542">
        <v>0.2</v>
      </c>
      <c r="J55" s="541" t="s">
        <v>376</v>
      </c>
      <c r="K55" s="464"/>
      <c r="L55" s="466"/>
      <c r="M55" s="542">
        <v>0.1</v>
      </c>
      <c r="N55" s="467" t="s">
        <v>275</v>
      </c>
      <c r="O55" s="543" t="str">
        <f t="shared" si="1"/>
        <v>#ERROR!</v>
      </c>
      <c r="P55" s="544"/>
      <c r="Q55" s="544"/>
      <c r="R55" s="1"/>
      <c r="S55" s="1"/>
      <c r="T55" s="1"/>
      <c r="U55" s="1"/>
      <c r="V55" s="1"/>
      <c r="W55" s="1"/>
      <c r="X55" s="1" t="str">
        <f>ROUND(IF(O50&gt;1000000,(O50-1000000)*0.3,"0"),0)</f>
        <v>#ERROR!</v>
      </c>
      <c r="Y55" s="1" t="str">
        <f>ROUND(IF(O50&gt;1000000,(O50-1000000)*0.3,"0"),0)</f>
        <v>#ERROR!</v>
      </c>
      <c r="Z55" s="1" t="str">
        <f>ROUND(IF(O50&gt;1000000,(O50-1000000)*0.3,"0"),0)</f>
        <v>#ERROR!</v>
      </c>
      <c r="AA55" s="539" t="str">
        <f>IF('Master Data'!$E$25="Under 60",X55,IF('Master Data'!$E$25="Above 60",Y55,Z55))</f>
        <v>#ERROR!</v>
      </c>
      <c r="AB55" s="1" t="str">
        <f>ROUND(IF(O50&lt;1200001,0,IF(O50&gt;1600001,60000,((O50-1200000)*0.15))),0)</f>
        <v>#ERROR!</v>
      </c>
      <c r="AC55" s="1" t="str">
        <f>ROUND(IF(O50&lt;1200001,0,IF(O50&gt;1600001,60000,((O50-1200000)*0.15))),0)</f>
        <v>#ERROR!</v>
      </c>
      <c r="AD55" s="1" t="str">
        <f>ROUND(IF(O50&lt;1200001,0,IF(O50&gt;1600001,60000,((O50-1200000)*0.15))),0)</f>
        <v>#ERROR!</v>
      </c>
      <c r="AE55" s="540" t="str">
        <f>IF('Master Data'!$E$25="Under 60",AB55,IF('Master Data'!$E$25="Above 60",AC55,AD55))</f>
        <v>#ERROR!</v>
      </c>
      <c r="AF55" s="1"/>
      <c r="AG55" s="1"/>
      <c r="AH55" s="1"/>
      <c r="AI55" s="1"/>
      <c r="AJ55" s="1"/>
      <c r="AK55" s="1"/>
    </row>
    <row r="56" ht="15.75" customHeight="1">
      <c r="A56" s="485"/>
      <c r="B56" s="541" t="s">
        <v>377</v>
      </c>
      <c r="C56" s="464"/>
      <c r="D56" s="464"/>
      <c r="E56" s="464"/>
      <c r="F56" s="464"/>
      <c r="G56" s="464"/>
      <c r="H56" s="466"/>
      <c r="I56" s="542">
        <v>0.3</v>
      </c>
      <c r="J56" s="541" t="s">
        <v>378</v>
      </c>
      <c r="K56" s="464"/>
      <c r="L56" s="466"/>
      <c r="M56" s="542">
        <v>0.15</v>
      </c>
      <c r="N56" s="467" t="s">
        <v>275</v>
      </c>
      <c r="O56" s="543" t="str">
        <f t="shared" si="1"/>
        <v>#ERROR!</v>
      </c>
      <c r="P56" s="546" t="s">
        <v>379</v>
      </c>
      <c r="T56" s="1"/>
      <c r="U56" s="1"/>
      <c r="V56" s="1"/>
      <c r="W56" s="1"/>
      <c r="X56" s="1"/>
      <c r="Y56" s="1"/>
      <c r="Z56" s="1"/>
      <c r="AA56" s="539" t="str">
        <f>IF('Master Data'!$E$25="Under 60",X56,IF('Master Data'!$E$25="Above 60",Y56,Z56))</f>
        <v/>
      </c>
      <c r="AB56" s="1" t="str">
        <f>ROUND(IF(O50&lt;1600001,0,IF(O50&gt;2000001,80000,((O50-1600000)*0.2))),0)</f>
        <v>#ERROR!</v>
      </c>
      <c r="AC56" s="1" t="str">
        <f>ROUND(IF(O50&lt;1600001,0,IF(O50&gt;2000001,80000,((O50-1600000)*0.2))),0)</f>
        <v>#ERROR!</v>
      </c>
      <c r="AD56" s="1" t="str">
        <f>ROUND(IF(O50&lt;1600001,0,IF(O50&gt;2000001,80000,((O50-1600000)*0.2))),0)</f>
        <v>#ERROR!</v>
      </c>
      <c r="AE56" s="540" t="str">
        <f>IF('Master Data'!$E$25="Under 60",AB56,IF('Master Data'!$E$25="Above 60",AC56,AD56))</f>
        <v>#ERROR!</v>
      </c>
      <c r="AF56" s="1"/>
      <c r="AG56" s="1"/>
      <c r="AH56" s="1"/>
      <c r="AI56" s="1"/>
      <c r="AJ56" s="1"/>
      <c r="AK56" s="1"/>
    </row>
    <row r="57" ht="15.75" customHeight="1">
      <c r="A57" s="485"/>
      <c r="B57" s="547"/>
      <c r="C57" s="464"/>
      <c r="D57" s="464"/>
      <c r="E57" s="464"/>
      <c r="F57" s="464"/>
      <c r="G57" s="464"/>
      <c r="H57" s="466"/>
      <c r="I57" s="542"/>
      <c r="J57" s="541" t="s">
        <v>380</v>
      </c>
      <c r="K57" s="464"/>
      <c r="L57" s="466"/>
      <c r="M57" s="542">
        <v>0.2</v>
      </c>
      <c r="N57" s="467" t="s">
        <v>275</v>
      </c>
      <c r="O57" s="543" t="str">
        <f t="shared" si="1"/>
        <v>#ERROR!</v>
      </c>
      <c r="P57" s="548"/>
      <c r="T57" s="549"/>
      <c r="U57" s="549"/>
      <c r="V57" s="549"/>
      <c r="W57" s="1"/>
      <c r="X57" s="1"/>
      <c r="Y57" s="1"/>
      <c r="Z57" s="1"/>
      <c r="AA57" s="539" t="str">
        <f>IF('Master Data'!$E$25="Under 60",X57,IF('Master Data'!$E$25="Above 60",Y57,Z57))</f>
        <v/>
      </c>
      <c r="AB57" s="1" t="str">
        <f>ROUND(IF(O50&lt;2000001,0,IF(O50&gt;2400001,100000,((O50-2000000)*0.25))),0)</f>
        <v>#ERROR!</v>
      </c>
      <c r="AC57" s="1" t="str">
        <f>ROUND(IF(O50&lt;2000001,0,IF(O50&gt;2400001,100000,((O50-2000000)*0.25))),0)</f>
        <v>#ERROR!</v>
      </c>
      <c r="AD57" s="1" t="str">
        <f>ROUND(IF(O50&lt;2000001,0,IF(O50&gt;2400001,100000,((O50-2000000)*0.25))),0)</f>
        <v>#ERROR!</v>
      </c>
      <c r="AE57" s="540" t="str">
        <f>IF('Master Data'!$E$25="Under 60",AB57,IF('Master Data'!$E$25="Above 60",AC57,AD57))</f>
        <v>#ERROR!</v>
      </c>
      <c r="AF57" s="1"/>
      <c r="AG57" s="1"/>
      <c r="AH57" s="1"/>
      <c r="AI57" s="1"/>
      <c r="AJ57" s="1"/>
      <c r="AK57" s="1"/>
    </row>
    <row r="58" ht="16.5" customHeight="1">
      <c r="A58" s="485"/>
      <c r="B58" s="547"/>
      <c r="C58" s="464"/>
      <c r="D58" s="464"/>
      <c r="E58" s="464"/>
      <c r="F58" s="464"/>
      <c r="G58" s="464"/>
      <c r="H58" s="466"/>
      <c r="I58" s="542"/>
      <c r="J58" s="541" t="s">
        <v>381</v>
      </c>
      <c r="K58" s="464"/>
      <c r="L58" s="466"/>
      <c r="M58" s="542">
        <v>0.25</v>
      </c>
      <c r="N58" s="467" t="s">
        <v>275</v>
      </c>
      <c r="O58" s="543" t="str">
        <f t="shared" si="1"/>
        <v>#ERROR!</v>
      </c>
      <c r="P58" s="548"/>
      <c r="T58" s="549"/>
      <c r="U58" s="549"/>
      <c r="V58" s="549"/>
      <c r="W58" s="1"/>
      <c r="X58" s="1"/>
      <c r="Y58" s="1"/>
      <c r="Z58" s="1"/>
      <c r="AA58" s="539"/>
      <c r="AB58" s="1" t="str">
        <f>ROUND(IF(O50&lt;2400001,0,(O50-2400000)*0.3),0)</f>
        <v>#ERROR!</v>
      </c>
      <c r="AC58" s="1" t="str">
        <f>ROUND(IF(O50&lt;2400001,0,(O50-2400000)*0.3),0)</f>
        <v>#ERROR!</v>
      </c>
      <c r="AD58" s="1" t="str">
        <f>ROUND(IF(O50&lt;2400001,0,(O50-2400000)*0.3),0)</f>
        <v>#ERROR!</v>
      </c>
      <c r="AE58" s="540" t="str">
        <f>IF('Master Data'!$E$25="Under 60",AB58,IF('Master Data'!$E$25="Above 60",AC58,AD58))</f>
        <v>#ERROR!</v>
      </c>
      <c r="AF58" s="1"/>
      <c r="AG58" s="1"/>
      <c r="AH58" s="1"/>
      <c r="AI58" s="1"/>
      <c r="AJ58" s="1"/>
      <c r="AK58" s="1"/>
    </row>
    <row r="59" ht="16.5" hidden="1" customHeight="1">
      <c r="A59" s="485"/>
      <c r="B59" s="547"/>
      <c r="C59" s="550"/>
      <c r="D59" s="550"/>
      <c r="E59" s="550"/>
      <c r="F59" s="550"/>
      <c r="G59" s="550"/>
      <c r="H59" s="551"/>
      <c r="I59" s="542"/>
      <c r="J59" s="541"/>
      <c r="K59" s="552"/>
      <c r="L59" s="553"/>
      <c r="M59" s="542"/>
      <c r="N59" s="467"/>
      <c r="O59" s="543"/>
      <c r="P59" s="548"/>
      <c r="T59" s="549"/>
      <c r="U59" s="549"/>
      <c r="V59" s="549"/>
      <c r="W59" s="1"/>
      <c r="X59" s="1"/>
      <c r="Y59" s="1"/>
      <c r="Z59" s="1"/>
      <c r="AA59" s="539"/>
      <c r="AB59" s="1"/>
      <c r="AC59" s="1"/>
      <c r="AD59" s="1"/>
      <c r="AE59" s="540"/>
      <c r="AF59" s="1"/>
      <c r="AG59" s="1"/>
      <c r="AH59" s="1"/>
      <c r="AI59" s="1"/>
      <c r="AJ59" s="1"/>
      <c r="AK59" s="1"/>
    </row>
    <row r="60" ht="15.75" customHeight="1">
      <c r="A60" s="485"/>
      <c r="B60" s="547"/>
      <c r="C60" s="464"/>
      <c r="D60" s="464"/>
      <c r="E60" s="464"/>
      <c r="F60" s="464"/>
      <c r="G60" s="464"/>
      <c r="H60" s="466"/>
      <c r="I60" s="542"/>
      <c r="J60" s="541" t="s">
        <v>382</v>
      </c>
      <c r="K60" s="464"/>
      <c r="L60" s="466"/>
      <c r="M60" s="542" t="str">
        <f>IF(T14=T2," ","30%")</f>
        <v>30%</v>
      </c>
      <c r="N60" s="554" t="str">
        <f>IF(T14=T2," ","#-")</f>
        <v>#-</v>
      </c>
      <c r="O60" s="543" t="str">
        <f>IF($T$14=$T$2,AA58,AE58)</f>
        <v>#ERROR!</v>
      </c>
      <c r="P60" s="548"/>
      <c r="T60" s="549"/>
      <c r="U60" s="549"/>
      <c r="V60" s="549"/>
      <c r="W60" s="1"/>
      <c r="X60" s="1" t="str">
        <f t="shared" ref="X60:Z60" si="2">SUM(X52:X55)</f>
        <v>#ERROR!</v>
      </c>
      <c r="Y60" s="1" t="str">
        <f t="shared" si="2"/>
        <v>#ERROR!</v>
      </c>
      <c r="Z60" s="1" t="str">
        <f t="shared" si="2"/>
        <v>#ERROR!</v>
      </c>
      <c r="AA60" s="539" t="str">
        <f>IF('Master Data'!$E$25="Under 60",X60,IF('Master Data'!$E$25="Above 60",Y60,Z60))</f>
        <v>#ERROR!</v>
      </c>
      <c r="AB60" s="1" t="str">
        <f t="shared" ref="AB60:AD60" si="3">SUM(AB52:AB59)</f>
        <v>#ERROR!</v>
      </c>
      <c r="AC60" s="1" t="str">
        <f t="shared" si="3"/>
        <v>#ERROR!</v>
      </c>
      <c r="AD60" s="1" t="str">
        <f t="shared" si="3"/>
        <v>#ERROR!</v>
      </c>
      <c r="AE60" s="540" t="str">
        <f>IF('Master Data'!$E$25="Under 60",AB60,IF('Master Data'!$E$25="Above 60",AC60,AD60))</f>
        <v>#ERROR!</v>
      </c>
      <c r="AF60" s="1"/>
      <c r="AG60" s="1"/>
      <c r="AH60" s="1"/>
      <c r="AI60" s="1"/>
      <c r="AJ60" s="1"/>
      <c r="AK60" s="1"/>
    </row>
    <row r="61" ht="15.75" customHeight="1">
      <c r="A61" s="485"/>
      <c r="B61" s="555" t="s">
        <v>383</v>
      </c>
      <c r="C61" s="464"/>
      <c r="D61" s="464"/>
      <c r="E61" s="464"/>
      <c r="F61" s="464"/>
      <c r="G61" s="464"/>
      <c r="H61" s="464"/>
      <c r="I61" s="464"/>
      <c r="J61" s="464"/>
      <c r="K61" s="464"/>
      <c r="L61" s="464"/>
      <c r="M61" s="466"/>
      <c r="N61" s="467" t="s">
        <v>275</v>
      </c>
      <c r="O61" s="468" t="str">
        <f>SUM(O53:O60)</f>
        <v>#ERROR!</v>
      </c>
      <c r="P61" s="548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32.25" customHeight="1">
      <c r="A62" s="485"/>
      <c r="B62" s="556" t="s">
        <v>384</v>
      </c>
      <c r="C62" s="557"/>
      <c r="D62" s="557"/>
      <c r="E62" s="557"/>
      <c r="F62" s="557"/>
      <c r="G62" s="557"/>
      <c r="H62" s="557"/>
      <c r="I62" s="558" t="str">
        <f>IF(T14=T2,IF(O50&gt;500000,0,IF(O61&lt;12501,O61,12500)),AD72)</f>
        <v>#ERROR!</v>
      </c>
      <c r="J62" s="559" t="s">
        <v>385</v>
      </c>
      <c r="K62" s="464"/>
      <c r="L62" s="466"/>
      <c r="M62" s="560" t="str">
        <f>IF(T14=1,0,AD70)</f>
        <v>#ERROR!</v>
      </c>
      <c r="N62" s="467" t="s">
        <v>275</v>
      </c>
      <c r="O62" s="468" t="str">
        <f>IF(T14=T2,I62,SUM(I62+M62))</f>
        <v>#ERROR!</v>
      </c>
      <c r="P62" s="475"/>
      <c r="Q62" s="544"/>
      <c r="R62" s="544"/>
      <c r="S62" s="544"/>
      <c r="T62" s="1"/>
      <c r="U62" s="1"/>
      <c r="V62" s="1"/>
      <c r="W62" s="1"/>
      <c r="X62" s="1" t="str">
        <f>ROUND(IF(O50&lt;=250000,0,IF(O50&lt;=500000,(O50-250000)*0.05,IF(O50&lt;=1000000,12500+(O50-500000)*0.2,IF(O50&gt;1000000,112500+(O50-1000000)*0.3,"0")))),0)</f>
        <v>#ERROR!</v>
      </c>
      <c r="Y62" s="1" t="str">
        <f>ROUND(IF(O50&lt;=300000,0,IF(O50&lt;=500000,(O50-300000)*0.05,IF(O50&lt;=1000000,10000+(O50-500000)*0.2,IF(O50&gt;1000000,110000+(O50-1000000)*0.3,"0")))),0)</f>
        <v>#ERROR!</v>
      </c>
      <c r="Z62" s="1" t="str">
        <f>ROUND(IF(O50&lt;=250000,0,IF(O50&lt;=500000,(O50-250000)*0.05,IF(O50&lt;=1000000,0+(O50-500000)*0.2,IF(O50&gt;1000000,100000+(O50-1000000)*0.3,"0")))),0)</f>
        <v>#ERROR!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5.75" customHeight="1">
      <c r="A63" s="485"/>
      <c r="B63" s="555" t="s">
        <v>386</v>
      </c>
      <c r="C63" s="464"/>
      <c r="D63" s="464"/>
      <c r="E63" s="464"/>
      <c r="F63" s="464"/>
      <c r="G63" s="464"/>
      <c r="H63" s="464"/>
      <c r="I63" s="464"/>
      <c r="J63" s="464"/>
      <c r="K63" s="464"/>
      <c r="L63" s="464"/>
      <c r="M63" s="466"/>
      <c r="N63" s="467" t="s">
        <v>275</v>
      </c>
      <c r="O63" s="468" t="str">
        <f>O61-O62</f>
        <v>#ERROR!</v>
      </c>
      <c r="P63" s="469"/>
      <c r="Q63" s="544"/>
      <c r="R63" s="544"/>
      <c r="S63" s="544"/>
      <c r="T63" s="1"/>
      <c r="U63" s="1"/>
      <c r="V63" s="1"/>
      <c r="W63" s="1"/>
      <c r="X63" s="1"/>
      <c r="Y63" s="1" t="str">
        <f>IF(T66&gt;350000,0,IF(T66&lt;2501,T66,2500))</f>
        <v/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5.75" customHeight="1">
      <c r="A64" s="485"/>
      <c r="B64" s="561" t="s">
        <v>387</v>
      </c>
      <c r="C64" s="464"/>
      <c r="D64" s="464"/>
      <c r="E64" s="464"/>
      <c r="F64" s="464"/>
      <c r="G64" s="464"/>
      <c r="H64" s="464"/>
      <c r="I64" s="464"/>
      <c r="J64" s="464"/>
      <c r="K64" s="464"/>
      <c r="L64" s="464"/>
      <c r="M64" s="466"/>
      <c r="N64" s="467" t="s">
        <v>275</v>
      </c>
      <c r="O64" s="468" t="str">
        <f>ROUND((O63*0.04),0)</f>
        <v>#ERROR!</v>
      </c>
      <c r="P64" s="475"/>
      <c r="Q64" s="475"/>
      <c r="R64" s="1"/>
      <c r="S64" s="1"/>
      <c r="T64" s="1"/>
      <c r="U64" s="1"/>
      <c r="V64" s="1"/>
      <c r="W64" s="1"/>
      <c r="X64" s="1"/>
      <c r="Y64" s="1"/>
      <c r="Z64" s="1"/>
      <c r="AA64" s="1" t="s">
        <v>388</v>
      </c>
      <c r="AB64" s="1"/>
      <c r="AC64" s="1"/>
      <c r="AD64" s="1" t="s">
        <v>389</v>
      </c>
      <c r="AE64" s="1"/>
      <c r="AF64" s="1"/>
      <c r="AG64" s="1"/>
      <c r="AH64" s="1"/>
      <c r="AI64" s="1"/>
      <c r="AJ64" s="1"/>
      <c r="AK64" s="1"/>
    </row>
    <row r="65" ht="15.75" customHeight="1">
      <c r="A65" s="492"/>
      <c r="B65" s="534" t="s">
        <v>390</v>
      </c>
      <c r="C65" s="464"/>
      <c r="D65" s="464"/>
      <c r="E65" s="464"/>
      <c r="F65" s="464"/>
      <c r="G65" s="464"/>
      <c r="H65" s="464"/>
      <c r="I65" s="464"/>
      <c r="J65" s="464"/>
      <c r="K65" s="464"/>
      <c r="L65" s="464"/>
      <c r="M65" s="466"/>
      <c r="N65" s="467" t="s">
        <v>275</v>
      </c>
      <c r="O65" s="468" t="str">
        <f>SUM(O63:O64)</f>
        <v>#ERROR!</v>
      </c>
      <c r="P65" s="469"/>
      <c r="Q65" s="469"/>
      <c r="R65" s="1"/>
      <c r="S65" s="1"/>
      <c r="T65" s="1"/>
      <c r="U65" s="1"/>
      <c r="V65" s="1"/>
      <c r="W65" s="1"/>
      <c r="X65" s="1"/>
      <c r="Y65" s="1"/>
      <c r="Z65" s="516" t="str">
        <f>O50</f>
        <v>#ERROR!</v>
      </c>
      <c r="AA65" s="516" t="str">
        <f>IF(Z65&gt;1200000,Z65-1200000,0)</f>
        <v>#ERROR!</v>
      </c>
      <c r="AB65" s="1"/>
      <c r="AC65" s="516" t="str">
        <f>O49</f>
        <v>#ERROR!</v>
      </c>
      <c r="AD65" s="516" t="str">
        <f>IF(AC65&gt;1200000,AC65-1200000,0)</f>
        <v>#ERROR!</v>
      </c>
      <c r="AE65" s="1"/>
      <c r="AF65" s="1"/>
      <c r="AG65" s="1"/>
      <c r="AH65" s="1"/>
      <c r="AI65" s="1"/>
      <c r="AJ65" s="1"/>
      <c r="AK65" s="1"/>
    </row>
    <row r="66" ht="15.75" customHeight="1">
      <c r="A66" s="473">
        <v>17.0</v>
      </c>
      <c r="B66" s="561" t="s">
        <v>391</v>
      </c>
      <c r="C66" s="464"/>
      <c r="D66" s="464"/>
      <c r="E66" s="464"/>
      <c r="F66" s="464"/>
      <c r="G66" s="464"/>
      <c r="H66" s="464"/>
      <c r="I66" s="464"/>
      <c r="J66" s="464"/>
      <c r="K66" s="464"/>
      <c r="L66" s="464"/>
      <c r="M66" s="466"/>
      <c r="N66" s="467" t="s">
        <v>275</v>
      </c>
      <c r="O66" s="468" t="str">
        <f>IF(T14=T2,'Extra Ded. '!K24,"0")</f>
        <v>0</v>
      </c>
      <c r="P66" s="475"/>
      <c r="Q66" s="475"/>
      <c r="R66" s="1"/>
      <c r="S66" s="1"/>
      <c r="T66" s="1"/>
      <c r="U66" s="1"/>
      <c r="V66" s="1"/>
      <c r="W66" s="1"/>
      <c r="X66" s="1"/>
      <c r="Y66" s="1"/>
      <c r="Z66" s="516" t="str">
        <f>O61</f>
        <v>#ERROR!</v>
      </c>
      <c r="AA66" s="516" t="str">
        <f>IF(Z65&gt;1200000,Z66-0,0)</f>
        <v>#ERROR!</v>
      </c>
      <c r="AB66" s="1"/>
      <c r="AC66" s="516" t="str">
        <f>O61</f>
        <v>#ERROR!</v>
      </c>
      <c r="AD66" s="516" t="str">
        <f>IF(AC65&gt;1200000,AC66-0,0)</f>
        <v>#ERROR!</v>
      </c>
      <c r="AE66" s="1"/>
      <c r="AF66" s="1"/>
      <c r="AG66" s="1"/>
      <c r="AH66" s="1"/>
      <c r="AI66" s="1"/>
      <c r="AJ66" s="1"/>
      <c r="AK66" s="1"/>
    </row>
    <row r="67" ht="15.75" customHeight="1">
      <c r="A67" s="473">
        <v>18.0</v>
      </c>
      <c r="B67" s="504" t="s">
        <v>392</v>
      </c>
      <c r="C67" s="464"/>
      <c r="D67" s="464"/>
      <c r="E67" s="464"/>
      <c r="F67" s="464"/>
      <c r="G67" s="464"/>
      <c r="H67" s="464"/>
      <c r="I67" s="464"/>
      <c r="J67" s="464"/>
      <c r="K67" s="464"/>
      <c r="L67" s="464"/>
      <c r="M67" s="466"/>
      <c r="N67" s="467" t="s">
        <v>275</v>
      </c>
      <c r="O67" s="468" t="str">
        <f>O65-O66</f>
        <v>#ERROR!</v>
      </c>
      <c r="P67" s="469"/>
      <c r="Q67" s="469"/>
      <c r="R67" s="1"/>
      <c r="S67" s="1"/>
      <c r="T67" s="1"/>
      <c r="U67" s="1"/>
      <c r="V67" s="1"/>
      <c r="W67" s="1"/>
      <c r="X67" s="1"/>
      <c r="Y67" s="1"/>
      <c r="Z67" s="516" t="str">
        <f>O64</f>
        <v>#ERROR!</v>
      </c>
      <c r="AA67" s="1" t="str">
        <f>IF(AA66&gt;AA65,AA66-AA65,0)</f>
        <v>#ERROR!</v>
      </c>
      <c r="AB67" s="1"/>
      <c r="AC67" s="516" t="str">
        <f>O64</f>
        <v>#ERROR!</v>
      </c>
      <c r="AD67" s="1" t="str">
        <f>IF(AD66&gt;AD65,AD66-AD65,0)</f>
        <v>#ERROR!</v>
      </c>
      <c r="AE67" s="1"/>
      <c r="AF67" s="1"/>
      <c r="AG67" s="1"/>
      <c r="AH67" s="1"/>
      <c r="AI67" s="1"/>
      <c r="AJ67" s="1"/>
      <c r="AK67" s="1"/>
    </row>
    <row r="68" ht="33.0" customHeight="1">
      <c r="A68" s="478">
        <v>19.0</v>
      </c>
      <c r="B68" s="562" t="s">
        <v>393</v>
      </c>
      <c r="C68" s="557"/>
      <c r="D68" s="499"/>
      <c r="E68" s="563" t="s">
        <v>394</v>
      </c>
      <c r="F68" s="464"/>
      <c r="G68" s="466"/>
      <c r="H68" s="563" t="s">
        <v>395</v>
      </c>
      <c r="I68" s="466"/>
      <c r="J68" s="564" t="s">
        <v>396</v>
      </c>
      <c r="K68" s="563" t="s">
        <v>397</v>
      </c>
      <c r="L68" s="466"/>
      <c r="M68" s="563" t="s">
        <v>398</v>
      </c>
      <c r="N68" s="466"/>
      <c r="O68" s="565" t="s">
        <v>399</v>
      </c>
      <c r="P68" s="566"/>
      <c r="Q68" s="566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20.25" customHeight="1">
      <c r="A69" s="492"/>
      <c r="B69" s="490"/>
      <c r="C69" s="567"/>
      <c r="D69" s="501"/>
      <c r="E69" s="568" t="str">
        <f>SUM('GA55 Check &amp; Edit'!BX12:BX18)</f>
        <v>#REF!</v>
      </c>
      <c r="F69" s="464"/>
      <c r="G69" s="466"/>
      <c r="H69" s="568">
        <f>SUM('GA55 Check &amp; Edit'!BX19:BX21)</f>
        <v>0</v>
      </c>
      <c r="I69" s="466"/>
      <c r="J69" s="569">
        <f>'GA55 Check &amp; Edit'!BX22</f>
        <v>0</v>
      </c>
      <c r="K69" s="568">
        <f>'GA55 Check &amp; Edit'!BX23</f>
        <v>0</v>
      </c>
      <c r="L69" s="466"/>
      <c r="M69" s="568" t="str">
        <f>SUM('GA55 Only Print'!X27-(E69+H69+J69+K69))+'Extra Ded. '!K9</f>
        <v>#REF!</v>
      </c>
      <c r="N69" s="466"/>
      <c r="O69" s="570" t="str">
        <f>SUM(E69,H69,J69,K69,M69)</f>
        <v>#REF!</v>
      </c>
      <c r="P69" s="571"/>
      <c r="Q69" s="571"/>
      <c r="R69" s="145"/>
      <c r="S69" s="145"/>
      <c r="T69" s="145"/>
      <c r="U69" s="145"/>
      <c r="V69" s="145"/>
      <c r="W69" s="145"/>
      <c r="X69" s="145"/>
      <c r="Y69" s="145"/>
      <c r="Z69" s="572" t="str">
        <f>O65</f>
        <v>#ERROR!</v>
      </c>
      <c r="AA69" s="572" t="str">
        <f>Z66-AA67</f>
        <v>#ERROR!</v>
      </c>
      <c r="AB69" s="145"/>
      <c r="AC69" s="145"/>
      <c r="AD69" s="145" t="b">
        <v>0</v>
      </c>
      <c r="AE69" s="145" t="b">
        <v>0</v>
      </c>
      <c r="AF69" s="145" t="b">
        <v>1</v>
      </c>
      <c r="AG69" s="145"/>
      <c r="AH69" s="145"/>
      <c r="AI69" s="145"/>
      <c r="AJ69" s="145"/>
      <c r="AK69" s="145"/>
    </row>
    <row r="70" ht="15.75" customHeight="1">
      <c r="A70" s="573" t="str">
        <f>IF(O67&gt;O69,"Income Tax Payable",IF(O67&lt;O69,"Income Tax Refundable","Income Tax Payble/Refundable"))</f>
        <v>#ERROR!</v>
      </c>
      <c r="B70" s="574"/>
      <c r="C70" s="574"/>
      <c r="D70" s="574"/>
      <c r="E70" s="574"/>
      <c r="F70" s="574"/>
      <c r="G70" s="574"/>
      <c r="H70" s="574"/>
      <c r="I70" s="574"/>
      <c r="J70" s="574"/>
      <c r="K70" s="574"/>
      <c r="L70" s="574"/>
      <c r="M70" s="575"/>
      <c r="N70" s="576" t="s">
        <v>275</v>
      </c>
      <c r="O70" s="577" t="str">
        <f>IF(O67&gt;O69,O67-O69,O69-O67)</f>
        <v>#ERROR!</v>
      </c>
      <c r="P70" s="475"/>
      <c r="Q70" s="475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09" t="str">
        <f>IF(AD69=AF69,AA67,AD67)</f>
        <v>#ERROR!</v>
      </c>
      <c r="AE70" s="1"/>
      <c r="AF70" s="1"/>
      <c r="AG70" s="1"/>
      <c r="AH70" s="1"/>
      <c r="AI70" s="1"/>
      <c r="AJ70" s="1"/>
      <c r="AK70" s="1"/>
    </row>
    <row r="71" ht="19.5" customHeight="1">
      <c r="A71" s="578"/>
      <c r="B71" s="579" t="s">
        <v>400</v>
      </c>
      <c r="C71" s="19"/>
      <c r="D71" s="19"/>
      <c r="E71" s="19"/>
      <c r="F71" s="19"/>
      <c r="G71" s="19"/>
      <c r="H71" s="19"/>
      <c r="I71" s="19"/>
      <c r="J71" s="19"/>
      <c r="K71" s="578"/>
      <c r="L71" s="578"/>
      <c r="M71" s="578"/>
      <c r="N71" s="580"/>
      <c r="O71" s="475"/>
      <c r="P71" s="475"/>
      <c r="Q71" s="475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5.75" customHeight="1">
      <c r="A72" s="581"/>
      <c r="B72" s="582"/>
      <c r="C72" s="582"/>
      <c r="D72" s="583"/>
      <c r="E72" s="582"/>
      <c r="F72" s="582"/>
      <c r="G72" s="582"/>
      <c r="H72" s="582"/>
      <c r="I72" s="582"/>
      <c r="J72" s="582"/>
      <c r="K72" s="582"/>
      <c r="L72" s="584" t="s">
        <v>401</v>
      </c>
      <c r="O72" s="582"/>
      <c r="P72" s="582"/>
      <c r="Q72" s="582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585" t="str">
        <f>IF(AD69=AF69,IF(O50&gt;1200004,0,IF(O61&lt;60001,O61,60000)),AD73)</f>
        <v>#ERROR!</v>
      </c>
      <c r="AE72" s="1"/>
      <c r="AF72" s="1"/>
      <c r="AG72" s="1"/>
      <c r="AH72" s="1"/>
      <c r="AI72" s="1"/>
      <c r="AJ72" s="1"/>
      <c r="AK72" s="1"/>
    </row>
    <row r="73" ht="15.75" customHeight="1">
      <c r="A73" s="581"/>
      <c r="B73" s="582"/>
      <c r="C73" s="582"/>
      <c r="D73" s="583"/>
      <c r="E73" s="582"/>
      <c r="F73" s="582"/>
      <c r="G73" s="582"/>
      <c r="H73" s="582"/>
      <c r="I73" s="582"/>
      <c r="J73" s="582"/>
      <c r="K73" s="582"/>
      <c r="L73" s="586"/>
      <c r="M73" s="587"/>
      <c r="N73" s="588"/>
      <c r="O73" s="582"/>
      <c r="P73" s="582"/>
      <c r="Q73" s="582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516" t="str">
        <f>IF(AND(O49&lt;1200005,M62=0),IF(O61&lt;60001,O61,60000),0)</f>
        <v>#ERROR!</v>
      </c>
      <c r="AE73" s="1"/>
      <c r="AF73" s="1"/>
      <c r="AG73" s="1"/>
      <c r="AH73" s="1"/>
      <c r="AI73" s="1"/>
      <c r="AJ73" s="1"/>
      <c r="AK73" s="1"/>
    </row>
    <row r="74" ht="15.75" customHeight="1">
      <c r="A74" s="581"/>
      <c r="B74" s="589"/>
      <c r="C74" s="589"/>
      <c r="D74" s="589"/>
      <c r="E74" s="589"/>
      <c r="F74" s="589"/>
      <c r="G74" s="589"/>
      <c r="H74" s="589"/>
      <c r="I74" s="589"/>
      <c r="J74" s="589"/>
      <c r="K74" s="589"/>
      <c r="L74" s="589"/>
      <c r="M74" s="589"/>
      <c r="N74" s="589"/>
      <c r="O74" s="582"/>
      <c r="P74" s="582"/>
      <c r="Q74" s="582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5.75" customHeight="1">
      <c r="A75" s="581"/>
      <c r="B75" s="589"/>
      <c r="C75" s="589"/>
      <c r="D75" s="589"/>
      <c r="E75" s="589"/>
      <c r="F75" s="589"/>
      <c r="G75" s="589"/>
      <c r="H75" s="589"/>
      <c r="I75" s="589"/>
      <c r="J75" s="589"/>
      <c r="K75" s="589"/>
      <c r="L75" s="589"/>
      <c r="M75" s="589"/>
      <c r="N75" s="589"/>
      <c r="O75" s="582"/>
      <c r="P75" s="582"/>
      <c r="Q75" s="582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5.75" customHeight="1">
      <c r="A76" s="581"/>
      <c r="B76" s="589"/>
      <c r="C76" s="589"/>
      <c r="D76" s="589"/>
      <c r="E76" s="589"/>
      <c r="F76" s="589"/>
      <c r="G76" s="589"/>
      <c r="H76" s="589"/>
      <c r="I76" s="589"/>
      <c r="J76" s="589"/>
      <c r="K76" s="589"/>
      <c r="L76" s="589"/>
      <c r="M76" s="589"/>
      <c r="N76" s="589"/>
      <c r="O76" s="582"/>
      <c r="P76" s="582"/>
      <c r="Q76" s="582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5.75" customHeight="1">
      <c r="A77" s="581"/>
      <c r="B77" s="582"/>
      <c r="C77" s="582"/>
      <c r="D77" s="582"/>
      <c r="E77" s="582"/>
      <c r="F77" s="582"/>
      <c r="G77" s="582"/>
      <c r="H77" s="582"/>
      <c r="I77" s="590"/>
      <c r="J77" s="590"/>
      <c r="K77" s="590"/>
      <c r="L77" s="590"/>
      <c r="M77" s="590"/>
      <c r="N77" s="590"/>
      <c r="O77" s="582"/>
      <c r="P77" s="582"/>
      <c r="Q77" s="582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5.75" customHeight="1">
      <c r="A78" s="581"/>
      <c r="B78" s="582"/>
      <c r="C78" s="582"/>
      <c r="D78" s="582"/>
      <c r="E78" s="582"/>
      <c r="F78" s="582"/>
      <c r="G78" s="582"/>
      <c r="H78" s="582"/>
      <c r="I78" s="590"/>
      <c r="J78" s="590"/>
      <c r="K78" s="590"/>
      <c r="L78" s="590"/>
      <c r="M78" s="590"/>
      <c r="N78" s="590"/>
      <c r="O78" s="582"/>
      <c r="P78" s="582"/>
      <c r="Q78" s="582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5.75" customHeight="1">
      <c r="A79" s="581"/>
      <c r="B79" s="582"/>
      <c r="C79" s="582"/>
      <c r="D79" s="582"/>
      <c r="E79" s="582"/>
      <c r="F79" s="582"/>
      <c r="G79" s="582"/>
      <c r="H79" s="582"/>
      <c r="I79" s="590"/>
      <c r="J79" s="590"/>
      <c r="K79" s="590"/>
      <c r="L79" s="590"/>
      <c r="M79" s="590"/>
      <c r="N79" s="590"/>
      <c r="O79" s="582"/>
      <c r="P79" s="582"/>
      <c r="Q79" s="582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5.75" customHeight="1">
      <c r="A80" s="581"/>
      <c r="B80" s="582"/>
      <c r="C80" s="582"/>
      <c r="D80" s="582"/>
      <c r="E80" s="582"/>
      <c r="F80" s="582"/>
      <c r="G80" s="582"/>
      <c r="H80" s="582"/>
      <c r="I80" s="590"/>
      <c r="J80" s="590"/>
      <c r="K80" s="590"/>
      <c r="L80" s="590"/>
      <c r="M80" s="590"/>
      <c r="N80" s="590"/>
      <c r="O80" s="582"/>
      <c r="P80" s="582"/>
      <c r="Q80" s="582"/>
      <c r="R80" s="1"/>
      <c r="S80" s="1"/>
      <c r="T80" s="1"/>
      <c r="U80" s="1"/>
      <c r="V80" s="1"/>
      <c r="W80" s="1"/>
      <c r="X80" s="1"/>
      <c r="Y80" s="1"/>
      <c r="Z80" s="516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5.75" customHeight="1">
      <c r="A81" s="581"/>
      <c r="B81" s="582"/>
      <c r="C81" s="582"/>
      <c r="D81" s="582"/>
      <c r="E81" s="582"/>
      <c r="F81" s="582"/>
      <c r="G81" s="582"/>
      <c r="H81" s="582"/>
      <c r="I81" s="590"/>
      <c r="J81" s="590"/>
      <c r="K81" s="590"/>
      <c r="L81" s="590"/>
      <c r="M81" s="590"/>
      <c r="N81" s="590"/>
      <c r="O81" s="582"/>
      <c r="P81" s="582"/>
      <c r="Q81" s="582"/>
      <c r="R81" s="1"/>
      <c r="S81" s="1"/>
      <c r="T81" s="1"/>
      <c r="U81" s="1"/>
      <c r="V81" s="1"/>
      <c r="W81" s="1"/>
      <c r="X81" s="1"/>
      <c r="Y81" s="1"/>
      <c r="Z81" s="516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5.75" customHeight="1">
      <c r="A82" s="581"/>
      <c r="B82" s="582"/>
      <c r="C82" s="591"/>
      <c r="D82" s="591"/>
      <c r="E82" s="591"/>
      <c r="F82" s="591"/>
      <c r="G82" s="591"/>
      <c r="H82" s="582"/>
      <c r="I82" s="590"/>
      <c r="J82" s="590"/>
      <c r="K82" s="590"/>
      <c r="L82" s="590"/>
      <c r="M82" s="590"/>
      <c r="N82" s="590"/>
      <c r="O82" s="582"/>
      <c r="P82" s="582"/>
      <c r="Q82" s="582"/>
      <c r="R82" s="1"/>
      <c r="S82" s="1"/>
      <c r="T82" s="1"/>
      <c r="U82" s="1"/>
      <c r="V82" s="1"/>
      <c r="W82" s="1"/>
      <c r="X82" s="1"/>
      <c r="Y82" s="1"/>
      <c r="Z82" s="516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5.75" customHeight="1">
      <c r="A83" s="592"/>
      <c r="B83" s="593"/>
      <c r="C83" s="593"/>
      <c r="D83" s="593"/>
      <c r="E83" s="593"/>
      <c r="F83" s="593"/>
      <c r="G83" s="593"/>
      <c r="H83" s="593"/>
      <c r="I83" s="590"/>
      <c r="J83" s="590"/>
      <c r="K83" s="590"/>
      <c r="L83" s="590"/>
      <c r="M83" s="590"/>
      <c r="N83" s="590"/>
      <c r="O83" s="593"/>
      <c r="P83" s="593"/>
      <c r="Q83" s="593"/>
      <c r="R83" s="594"/>
      <c r="S83" s="594"/>
      <c r="T83" s="594"/>
      <c r="U83" s="594"/>
      <c r="V83" s="594"/>
      <c r="W83" s="594"/>
      <c r="X83" s="594"/>
      <c r="Y83" s="594"/>
      <c r="Z83" s="1"/>
      <c r="AA83" s="1"/>
      <c r="AB83" s="594"/>
      <c r="AC83" s="594"/>
      <c r="AD83" s="594"/>
      <c r="AE83" s="594"/>
      <c r="AF83" s="594"/>
      <c r="AG83" s="594"/>
      <c r="AH83" s="594"/>
      <c r="AI83" s="594"/>
      <c r="AJ83" s="594"/>
      <c r="AK83" s="594"/>
    </row>
    <row r="84" ht="15.75" customHeight="1">
      <c r="A84" s="592"/>
      <c r="B84" s="593"/>
      <c r="C84" s="593"/>
      <c r="D84" s="593"/>
      <c r="E84" s="593"/>
      <c r="F84" s="593"/>
      <c r="G84" s="593"/>
      <c r="H84" s="593"/>
      <c r="I84" s="593"/>
      <c r="J84" s="593"/>
      <c r="K84" s="593"/>
      <c r="L84" s="593"/>
      <c r="M84" s="595"/>
      <c r="N84" s="596"/>
      <c r="O84" s="593"/>
      <c r="P84" s="593"/>
      <c r="Q84" s="593"/>
      <c r="R84" s="594"/>
      <c r="S84" s="594"/>
      <c r="T84" s="594"/>
      <c r="U84" s="594"/>
      <c r="V84" s="594"/>
      <c r="W84" s="594"/>
      <c r="X84" s="594"/>
      <c r="Y84" s="594"/>
      <c r="Z84" s="572"/>
      <c r="AA84" s="572"/>
      <c r="AB84" s="594"/>
      <c r="AC84" s="594"/>
      <c r="AD84" s="594"/>
      <c r="AE84" s="594"/>
      <c r="AF84" s="594"/>
      <c r="AG84" s="594"/>
      <c r="AH84" s="594"/>
      <c r="AI84" s="594"/>
      <c r="AJ84" s="594"/>
      <c r="AK84" s="594"/>
    </row>
    <row r="85" ht="15.75" customHeight="1">
      <c r="A85" s="592"/>
      <c r="B85" s="593"/>
      <c r="C85" s="593"/>
      <c r="D85" s="593"/>
      <c r="E85" s="593"/>
      <c r="F85" s="593"/>
      <c r="G85" s="593"/>
      <c r="H85" s="593"/>
      <c r="I85" s="593"/>
      <c r="J85" s="593"/>
      <c r="K85" s="593"/>
      <c r="L85" s="593"/>
      <c r="M85" s="595"/>
      <c r="N85" s="596"/>
      <c r="O85" s="593"/>
      <c r="P85" s="593"/>
      <c r="Q85" s="593"/>
      <c r="R85" s="594"/>
      <c r="S85" s="594"/>
      <c r="T85" s="594"/>
      <c r="U85" s="594"/>
      <c r="V85" s="594"/>
      <c r="W85" s="594"/>
      <c r="X85" s="594"/>
      <c r="Y85" s="594"/>
      <c r="Z85" s="594"/>
      <c r="AA85" s="594"/>
      <c r="AB85" s="594"/>
      <c r="AC85" s="594"/>
      <c r="AD85" s="594"/>
      <c r="AE85" s="594"/>
      <c r="AF85" s="594"/>
      <c r="AG85" s="594"/>
      <c r="AH85" s="594"/>
      <c r="AI85" s="594"/>
      <c r="AJ85" s="594"/>
      <c r="AK85" s="594"/>
    </row>
    <row r="86" ht="15.75" customHeight="1">
      <c r="A86" s="592"/>
      <c r="B86" s="593"/>
      <c r="C86" s="593"/>
      <c r="D86" s="593"/>
      <c r="E86" s="593"/>
      <c r="F86" s="593"/>
      <c r="G86" s="593"/>
      <c r="H86" s="593"/>
      <c r="I86" s="593"/>
      <c r="J86" s="593"/>
      <c r="K86" s="593"/>
      <c r="L86" s="593"/>
      <c r="M86" s="595"/>
      <c r="N86" s="596"/>
      <c r="O86" s="593"/>
      <c r="P86" s="593"/>
      <c r="Q86" s="593"/>
      <c r="R86" s="594"/>
      <c r="S86" s="594"/>
      <c r="T86" s="594"/>
      <c r="U86" s="594"/>
      <c r="V86" s="594"/>
      <c r="W86" s="594"/>
      <c r="X86" s="594"/>
      <c r="Y86" s="594"/>
      <c r="Z86" s="594"/>
      <c r="AA86" s="594"/>
      <c r="AB86" s="594"/>
      <c r="AC86" s="594"/>
      <c r="AD86" s="594"/>
      <c r="AE86" s="594"/>
      <c r="AF86" s="594"/>
      <c r="AG86" s="594"/>
      <c r="AH86" s="594"/>
      <c r="AI86" s="594"/>
      <c r="AJ86" s="594"/>
      <c r="AK86" s="594"/>
    </row>
    <row r="87" ht="15.75" customHeight="1">
      <c r="A87" s="592"/>
      <c r="B87" s="593"/>
      <c r="C87" s="593"/>
      <c r="D87" s="593"/>
      <c r="E87" s="593"/>
      <c r="F87" s="593"/>
      <c r="G87" s="593"/>
      <c r="H87" s="593"/>
      <c r="I87" s="593"/>
      <c r="J87" s="593"/>
      <c r="K87" s="593"/>
      <c r="L87" s="597"/>
      <c r="M87" s="595"/>
      <c r="N87" s="598"/>
      <c r="O87" s="593"/>
      <c r="P87" s="593"/>
      <c r="Q87" s="593"/>
      <c r="R87" s="594"/>
      <c r="S87" s="594"/>
      <c r="T87" s="594"/>
      <c r="U87" s="594"/>
      <c r="V87" s="594"/>
      <c r="W87" s="594"/>
      <c r="X87" s="594"/>
      <c r="Y87" s="594"/>
      <c r="Z87" s="594"/>
      <c r="AA87" s="594"/>
      <c r="AB87" s="594"/>
      <c r="AC87" s="594"/>
      <c r="AD87" s="594"/>
      <c r="AE87" s="594"/>
      <c r="AF87" s="594"/>
      <c r="AG87" s="594"/>
      <c r="AH87" s="594"/>
      <c r="AI87" s="594"/>
      <c r="AJ87" s="594"/>
      <c r="AK87" s="594"/>
    </row>
    <row r="88" ht="15.75" customHeight="1">
      <c r="A88" s="581"/>
      <c r="B88" s="582"/>
      <c r="C88" s="582"/>
      <c r="D88" s="582"/>
      <c r="E88" s="582"/>
      <c r="F88" s="582"/>
      <c r="G88" s="582"/>
      <c r="H88" s="582"/>
      <c r="I88" s="582"/>
      <c r="J88" s="582"/>
      <c r="K88" s="582"/>
      <c r="L88" s="582"/>
      <c r="M88" s="587"/>
      <c r="N88" s="588"/>
      <c r="O88" s="582"/>
      <c r="P88" s="582"/>
      <c r="Q88" s="582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5.75" customHeight="1">
      <c r="A89" s="599"/>
      <c r="B89" s="599"/>
      <c r="C89" s="599"/>
      <c r="D89" s="599"/>
      <c r="E89" s="599"/>
      <c r="F89" s="599"/>
      <c r="G89" s="599"/>
      <c r="H89" s="599"/>
      <c r="I89" s="599"/>
      <c r="J89" s="599"/>
      <c r="K89" s="599"/>
      <c r="L89" s="599"/>
      <c r="M89" s="599"/>
      <c r="N89" s="599"/>
      <c r="O89" s="599"/>
      <c r="P89" s="599"/>
      <c r="Q89" s="599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5.75" customHeight="1">
      <c r="A90" s="599"/>
      <c r="B90" s="599"/>
      <c r="C90" s="599"/>
      <c r="D90" s="599"/>
      <c r="E90" s="599"/>
      <c r="F90" s="599"/>
      <c r="G90" s="599"/>
      <c r="H90" s="599"/>
      <c r="I90" s="599"/>
      <c r="J90" s="599"/>
      <c r="K90" s="599"/>
      <c r="L90" s="599"/>
      <c r="M90" s="599"/>
      <c r="N90" s="599"/>
      <c r="O90" s="599"/>
      <c r="P90" s="599"/>
      <c r="Q90" s="599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5.75" customHeight="1">
      <c r="A91" s="599"/>
      <c r="B91" s="599"/>
      <c r="C91" s="599"/>
      <c r="D91" s="599"/>
      <c r="E91" s="599"/>
      <c r="F91" s="599"/>
      <c r="G91" s="599"/>
      <c r="H91" s="599"/>
      <c r="I91" s="599"/>
      <c r="J91" s="599"/>
      <c r="K91" s="599"/>
      <c r="L91" s="599"/>
      <c r="M91" s="599"/>
      <c r="N91" s="599"/>
      <c r="O91" s="599"/>
      <c r="P91" s="599"/>
      <c r="Q91" s="599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</row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2">
    <mergeCell ref="A1:O1"/>
    <mergeCell ref="C2:E2"/>
    <mergeCell ref="F2:G2"/>
    <mergeCell ref="H2:I2"/>
    <mergeCell ref="J2:K2"/>
    <mergeCell ref="L2:O2"/>
    <mergeCell ref="B3:C3"/>
    <mergeCell ref="N3:O3"/>
    <mergeCell ref="B6:M6"/>
    <mergeCell ref="B7:J7"/>
    <mergeCell ref="K7:M7"/>
    <mergeCell ref="N7:O9"/>
    <mergeCell ref="B8:J8"/>
    <mergeCell ref="K8:M8"/>
    <mergeCell ref="B9:J9"/>
    <mergeCell ref="K9:M9"/>
    <mergeCell ref="D3:H3"/>
    <mergeCell ref="J3:L3"/>
    <mergeCell ref="B4:I4"/>
    <mergeCell ref="J4:M4"/>
    <mergeCell ref="R4:V7"/>
    <mergeCell ref="B5:M5"/>
    <mergeCell ref="A7:A10"/>
    <mergeCell ref="A12:A14"/>
    <mergeCell ref="B13:C14"/>
    <mergeCell ref="D13:E13"/>
    <mergeCell ref="F13:H13"/>
    <mergeCell ref="I13:J13"/>
    <mergeCell ref="K13:M13"/>
    <mergeCell ref="D14:E14"/>
    <mergeCell ref="F14:H14"/>
    <mergeCell ref="A19:A35"/>
    <mergeCell ref="C21:E21"/>
    <mergeCell ref="C22:E22"/>
    <mergeCell ref="C23:E23"/>
    <mergeCell ref="C24:E24"/>
    <mergeCell ref="C31:E31"/>
    <mergeCell ref="B56:H56"/>
    <mergeCell ref="B57:H57"/>
    <mergeCell ref="B58:H58"/>
    <mergeCell ref="B60:H60"/>
    <mergeCell ref="A51:A65"/>
    <mergeCell ref="A68:A69"/>
    <mergeCell ref="B68:D69"/>
    <mergeCell ref="E68:G68"/>
    <mergeCell ref="E69:G69"/>
    <mergeCell ref="C29:E29"/>
    <mergeCell ref="C30:E30"/>
    <mergeCell ref="A36:A47"/>
    <mergeCell ref="B53:H53"/>
    <mergeCell ref="B54:H54"/>
    <mergeCell ref="B55:H55"/>
    <mergeCell ref="B62:H62"/>
    <mergeCell ref="I29:K29"/>
    <mergeCell ref="I30:K30"/>
    <mergeCell ref="H31:K31"/>
    <mergeCell ref="B32:M32"/>
    <mergeCell ref="S32:S34"/>
    <mergeCell ref="B33:M33"/>
    <mergeCell ref="B34:M34"/>
    <mergeCell ref="B35:M35"/>
    <mergeCell ref="B36:O36"/>
    <mergeCell ref="B37:M37"/>
    <mergeCell ref="B38:M38"/>
    <mergeCell ref="B39:M39"/>
    <mergeCell ref="B40:M40"/>
    <mergeCell ref="B41:M41"/>
    <mergeCell ref="B42:M42"/>
    <mergeCell ref="B43:M43"/>
    <mergeCell ref="B44:M44"/>
    <mergeCell ref="B45:M45"/>
    <mergeCell ref="B46:M46"/>
    <mergeCell ref="B47:M47"/>
    <mergeCell ref="B48:M48"/>
    <mergeCell ref="B49:M49"/>
    <mergeCell ref="B50:M50"/>
    <mergeCell ref="B51:O51"/>
    <mergeCell ref="X51:Z51"/>
    <mergeCell ref="AB51:AD51"/>
    <mergeCell ref="B52:I52"/>
    <mergeCell ref="J52:N52"/>
    <mergeCell ref="J53:L53"/>
    <mergeCell ref="J54:L54"/>
    <mergeCell ref="J55:L55"/>
    <mergeCell ref="J56:L56"/>
    <mergeCell ref="P56:S61"/>
    <mergeCell ref="J57:L57"/>
    <mergeCell ref="J58:L58"/>
    <mergeCell ref="J62:L62"/>
    <mergeCell ref="J60:L60"/>
    <mergeCell ref="B61:M61"/>
    <mergeCell ref="B63:M63"/>
    <mergeCell ref="B64:M64"/>
    <mergeCell ref="B65:M65"/>
    <mergeCell ref="B66:M66"/>
    <mergeCell ref="B67:M67"/>
    <mergeCell ref="M69:N69"/>
    <mergeCell ref="L72:N72"/>
    <mergeCell ref="H68:I68"/>
    <mergeCell ref="K68:L68"/>
    <mergeCell ref="M68:N68"/>
    <mergeCell ref="H69:I69"/>
    <mergeCell ref="K69:L69"/>
    <mergeCell ref="A70:M70"/>
    <mergeCell ref="B71:J71"/>
    <mergeCell ref="I14:J14"/>
    <mergeCell ref="K14:M14"/>
    <mergeCell ref="B10:J10"/>
    <mergeCell ref="K10:M10"/>
    <mergeCell ref="B11:M11"/>
    <mergeCell ref="B12:H12"/>
    <mergeCell ref="I12:J12"/>
    <mergeCell ref="K12:M12"/>
    <mergeCell ref="N12:O14"/>
    <mergeCell ref="B18:M18"/>
    <mergeCell ref="B19:O19"/>
    <mergeCell ref="R19:S19"/>
    <mergeCell ref="B20:O20"/>
    <mergeCell ref="I21:K21"/>
    <mergeCell ref="Q22:U24"/>
    <mergeCell ref="B15:M15"/>
    <mergeCell ref="B16:D16"/>
    <mergeCell ref="E16:F16"/>
    <mergeCell ref="G16:H16"/>
    <mergeCell ref="B17:D17"/>
    <mergeCell ref="E17:F17"/>
    <mergeCell ref="G17:H17"/>
    <mergeCell ref="C25:E25"/>
    <mergeCell ref="C26:E26"/>
    <mergeCell ref="Q26:U28"/>
    <mergeCell ref="C27:E27"/>
    <mergeCell ref="C28:E28"/>
    <mergeCell ref="I28:K28"/>
    <mergeCell ref="I26:K26"/>
    <mergeCell ref="I27:K27"/>
    <mergeCell ref="J16:M16"/>
    <mergeCell ref="J17:M17"/>
    <mergeCell ref="N21:O31"/>
    <mergeCell ref="I22:K22"/>
    <mergeCell ref="I23:K23"/>
    <mergeCell ref="I24:K24"/>
    <mergeCell ref="I25:K25"/>
  </mergeCells>
  <conditionalFormatting sqref="A70:O70">
    <cfRule type="expression" dxfId="5" priority="1">
      <formula>$A70="Income Tax Payable"</formula>
    </cfRule>
  </conditionalFormatting>
  <conditionalFormatting sqref="A70:O70">
    <cfRule type="expression" dxfId="6" priority="2">
      <formula>$A70="Income Tax Refundable"</formula>
    </cfRule>
  </conditionalFormatting>
  <conditionalFormatting sqref="L2:O2">
    <cfRule type="cellIs" dxfId="7" priority="3" operator="equal">
      <formula>"Old Tax Regime"</formula>
    </cfRule>
  </conditionalFormatting>
  <dataValidations>
    <dataValidation type="decimal" operator="lessThanOrEqual" allowBlank="1" showInputMessage="1" showErrorMessage="1" prompt="electric Vehicle - Max 150000" sqref="O46">
      <formula1>150000.0</formula1>
    </dataValidation>
  </dataValidations>
  <hyperlinks>
    <hyperlink r:id="rId1" ref="Q22"/>
  </hyperlinks>
  <printOptions horizontalCentered="1" verticalCentered="1"/>
  <pageMargins bottom="0.25" footer="0.0" header="0.0" left="0.4" right="0.3" top="0.25"/>
  <pageSetup paperSize="9" orientation="landscape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7.43"/>
    <col customWidth="1" min="2" max="12" width="8.71"/>
    <col customWidth="1" min="13" max="14" width="6.71"/>
    <col customWidth="1" min="15" max="26" width="8.86"/>
  </cols>
  <sheetData>
    <row r="1" ht="25.5" customHeight="1">
      <c r="A1" s="600"/>
      <c r="B1" s="601" t="s">
        <v>402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  <c r="P1" s="600"/>
      <c r="Q1" s="600"/>
      <c r="R1" s="1"/>
      <c r="S1" s="1"/>
      <c r="T1" s="1"/>
      <c r="U1" s="1"/>
      <c r="V1" s="1"/>
      <c r="W1" s="1"/>
      <c r="X1" s="1"/>
      <c r="Y1" s="1"/>
      <c r="Z1" s="1"/>
    </row>
    <row r="2" ht="24.75" customHeight="1">
      <c r="A2" s="600"/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8"/>
      <c r="P2" s="600"/>
      <c r="Q2" s="600"/>
      <c r="R2" s="1"/>
      <c r="S2" s="1"/>
      <c r="T2" s="1"/>
      <c r="U2" s="1"/>
      <c r="V2" s="1"/>
      <c r="W2" s="1"/>
      <c r="X2" s="1"/>
      <c r="Y2" s="1"/>
      <c r="Z2" s="1"/>
    </row>
    <row r="3">
      <c r="A3" s="600"/>
      <c r="B3" s="602" t="s">
        <v>403</v>
      </c>
      <c r="C3" s="603"/>
      <c r="D3" s="604" t="str">
        <f>UPPER(IF('Master Data'!D6="","",'Master Data'!D6))</f>
        <v>MANJU KUMARI </v>
      </c>
      <c r="E3" s="605"/>
      <c r="F3" s="605"/>
      <c r="G3" s="605"/>
      <c r="H3" s="605"/>
      <c r="I3" s="605"/>
      <c r="J3" s="605"/>
      <c r="K3" s="605"/>
      <c r="L3" s="605"/>
      <c r="M3" s="605"/>
      <c r="N3" s="605"/>
      <c r="O3" s="606"/>
      <c r="P3" s="600"/>
      <c r="Q3" s="600"/>
      <c r="R3" s="1"/>
      <c r="S3" s="1"/>
      <c r="T3" s="1"/>
      <c r="U3" s="1"/>
      <c r="V3" s="1"/>
      <c r="W3" s="1"/>
      <c r="X3" s="1"/>
      <c r="Y3" s="1"/>
      <c r="Z3" s="1"/>
    </row>
    <row r="4">
      <c r="A4" s="600"/>
      <c r="B4" s="607" t="s">
        <v>404</v>
      </c>
      <c r="C4" s="608"/>
      <c r="D4" s="609"/>
      <c r="E4" s="610"/>
      <c r="F4" s="610"/>
      <c r="G4" s="610"/>
      <c r="H4" s="610"/>
      <c r="I4" s="610"/>
      <c r="J4" s="610"/>
      <c r="K4" s="610"/>
      <c r="L4" s="610"/>
      <c r="M4" s="610"/>
      <c r="N4" s="610"/>
      <c r="O4" s="611"/>
      <c r="P4" s="600"/>
      <c r="Q4" s="600"/>
      <c r="R4" s="1"/>
      <c r="S4" s="1"/>
      <c r="T4" s="1"/>
      <c r="U4" s="1"/>
      <c r="V4" s="1"/>
      <c r="W4" s="1"/>
      <c r="X4" s="1"/>
      <c r="Y4" s="1"/>
      <c r="Z4" s="1"/>
    </row>
    <row r="5">
      <c r="A5" s="600"/>
      <c r="B5" s="612" t="s">
        <v>273</v>
      </c>
      <c r="C5" s="613"/>
      <c r="D5" s="614" t="str">
        <f>IF(AND('Master Data'!D12=""),"",UPPER('Master Data'!D12))</f>
        <v>
HXLPK3160E</v>
      </c>
      <c r="E5" s="615"/>
      <c r="F5" s="615"/>
      <c r="G5" s="615"/>
      <c r="H5" s="613"/>
      <c r="I5" s="616" t="s">
        <v>405</v>
      </c>
      <c r="J5" s="613"/>
      <c r="K5" s="614" t="s">
        <v>406</v>
      </c>
      <c r="L5" s="615"/>
      <c r="M5" s="615"/>
      <c r="N5" s="615"/>
      <c r="O5" s="617"/>
      <c r="P5" s="600"/>
      <c r="Q5" s="600"/>
      <c r="R5" s="1"/>
      <c r="S5" s="1"/>
      <c r="T5" s="1"/>
      <c r="U5" s="1"/>
      <c r="V5" s="1"/>
      <c r="W5" s="1"/>
      <c r="X5" s="1"/>
      <c r="Y5" s="1"/>
      <c r="Z5" s="1"/>
    </row>
    <row r="6">
      <c r="A6" s="600"/>
      <c r="B6" s="618"/>
      <c r="C6" s="618"/>
      <c r="D6" s="618"/>
      <c r="E6" s="618"/>
      <c r="F6" s="618"/>
      <c r="G6" s="618"/>
      <c r="H6" s="618"/>
      <c r="I6" s="618"/>
      <c r="J6" s="618"/>
      <c r="K6" s="618"/>
      <c r="L6" s="618"/>
      <c r="M6" s="618"/>
      <c r="N6" s="618"/>
      <c r="O6" s="618"/>
      <c r="P6" s="600"/>
      <c r="Q6" s="600"/>
      <c r="R6" s="1"/>
      <c r="S6" s="1"/>
      <c r="T6" s="1"/>
      <c r="U6" s="1"/>
      <c r="V6" s="1"/>
      <c r="W6" s="1"/>
      <c r="X6" s="1"/>
      <c r="Y6" s="1"/>
      <c r="Z6" s="1"/>
    </row>
    <row r="7">
      <c r="A7" s="600"/>
      <c r="B7" s="619" t="s">
        <v>407</v>
      </c>
      <c r="C7" s="605"/>
      <c r="D7" s="605"/>
      <c r="E7" s="605"/>
      <c r="F7" s="605"/>
      <c r="G7" s="605"/>
      <c r="H7" s="605"/>
      <c r="I7" s="605"/>
      <c r="J7" s="605"/>
      <c r="K7" s="605"/>
      <c r="L7" s="620"/>
      <c r="M7" s="621" t="s">
        <v>408</v>
      </c>
      <c r="N7" s="605"/>
      <c r="O7" s="606"/>
      <c r="P7" s="600"/>
      <c r="Q7" s="600"/>
      <c r="R7" s="1"/>
      <c r="S7" s="1"/>
      <c r="T7" s="1"/>
      <c r="U7" s="1"/>
      <c r="V7" s="1"/>
      <c r="W7" s="1"/>
      <c r="X7" s="1"/>
      <c r="Y7" s="1"/>
      <c r="Z7" s="1"/>
    </row>
    <row r="8">
      <c r="A8" s="600"/>
      <c r="B8" s="622" t="s">
        <v>409</v>
      </c>
      <c r="C8" s="623"/>
      <c r="D8" s="623"/>
      <c r="E8" s="623"/>
      <c r="F8" s="623"/>
      <c r="G8" s="623"/>
      <c r="H8" s="623"/>
      <c r="I8" s="623"/>
      <c r="J8" s="623"/>
      <c r="K8" s="623"/>
      <c r="L8" s="624"/>
      <c r="M8" s="625">
        <v>0.0</v>
      </c>
      <c r="N8" s="610"/>
      <c r="O8" s="611"/>
      <c r="P8" s="600"/>
      <c r="Q8" s="600"/>
      <c r="R8" s="1"/>
      <c r="S8" s="1"/>
      <c r="T8" s="1"/>
      <c r="U8" s="1"/>
      <c r="V8" s="1"/>
      <c r="W8" s="1"/>
      <c r="X8" s="1"/>
      <c r="Y8" s="1"/>
      <c r="Z8" s="1"/>
    </row>
    <row r="9">
      <c r="A9" s="600"/>
      <c r="B9" s="626" t="s">
        <v>410</v>
      </c>
      <c r="C9" s="627"/>
      <c r="D9" s="627"/>
      <c r="E9" s="627"/>
      <c r="F9" s="627"/>
      <c r="G9" s="627"/>
      <c r="H9" s="627"/>
      <c r="I9" s="627"/>
      <c r="J9" s="627"/>
      <c r="K9" s="627"/>
      <c r="L9" s="628"/>
      <c r="M9" s="629">
        <v>0.0</v>
      </c>
      <c r="N9" s="610"/>
      <c r="O9" s="611"/>
      <c r="P9" s="600"/>
      <c r="Q9" s="600"/>
      <c r="R9" s="1"/>
      <c r="S9" s="1"/>
      <c r="T9" s="1"/>
      <c r="U9" s="1"/>
      <c r="V9" s="1"/>
      <c r="W9" s="1"/>
      <c r="X9" s="1"/>
      <c r="Y9" s="1"/>
      <c r="Z9" s="1"/>
    </row>
    <row r="10">
      <c r="A10" s="600"/>
      <c r="B10" s="630" t="s">
        <v>411</v>
      </c>
      <c r="C10" s="610"/>
      <c r="D10" s="610"/>
      <c r="E10" s="610"/>
      <c r="F10" s="610"/>
      <c r="G10" s="610"/>
      <c r="H10" s="610"/>
      <c r="I10" s="610"/>
      <c r="J10" s="610"/>
      <c r="K10" s="610"/>
      <c r="L10" s="631"/>
      <c r="M10" s="632" t="s">
        <v>408</v>
      </c>
      <c r="N10" s="610"/>
      <c r="O10" s="611"/>
      <c r="P10" s="600"/>
      <c r="Q10" s="600"/>
      <c r="R10" s="1"/>
      <c r="S10" s="1"/>
      <c r="T10" s="1"/>
      <c r="U10" s="1"/>
      <c r="V10" s="1"/>
      <c r="W10" s="1"/>
      <c r="X10" s="1"/>
      <c r="Y10" s="1"/>
      <c r="Z10" s="1"/>
    </row>
    <row r="11">
      <c r="A11" s="600"/>
      <c r="B11" s="622" t="s">
        <v>412</v>
      </c>
      <c r="C11" s="623"/>
      <c r="D11" s="623"/>
      <c r="E11" s="623"/>
      <c r="F11" s="623"/>
      <c r="G11" s="623"/>
      <c r="H11" s="623"/>
      <c r="I11" s="623"/>
      <c r="J11" s="623"/>
      <c r="K11" s="623"/>
      <c r="L11" s="624"/>
      <c r="M11" s="625">
        <v>0.0</v>
      </c>
      <c r="N11" s="610"/>
      <c r="O11" s="611"/>
      <c r="P11" s="600"/>
      <c r="Q11" s="600"/>
      <c r="R11" s="1"/>
      <c r="S11" s="1"/>
      <c r="T11" s="1"/>
      <c r="U11" s="1"/>
      <c r="V11" s="1"/>
      <c r="W11" s="1"/>
      <c r="X11" s="1"/>
      <c r="Y11" s="1"/>
      <c r="Z11" s="1"/>
    </row>
    <row r="12">
      <c r="A12" s="600"/>
      <c r="B12" s="626" t="s">
        <v>413</v>
      </c>
      <c r="C12" s="627"/>
      <c r="D12" s="627"/>
      <c r="E12" s="627"/>
      <c r="F12" s="627"/>
      <c r="G12" s="627"/>
      <c r="H12" s="627"/>
      <c r="I12" s="627"/>
      <c r="J12" s="627"/>
      <c r="K12" s="627"/>
      <c r="L12" s="628"/>
      <c r="M12" s="629">
        <v>0.0</v>
      </c>
      <c r="N12" s="610"/>
      <c r="O12" s="611"/>
      <c r="P12" s="600"/>
      <c r="Q12" s="600"/>
      <c r="R12" s="1"/>
      <c r="S12" s="1"/>
      <c r="T12" s="1"/>
      <c r="U12" s="1"/>
      <c r="V12" s="1"/>
      <c r="W12" s="1"/>
      <c r="X12" s="1"/>
      <c r="Y12" s="1"/>
      <c r="Z12" s="1"/>
    </row>
    <row r="13">
      <c r="A13" s="600"/>
      <c r="B13" s="630" t="s">
        <v>414</v>
      </c>
      <c r="C13" s="610"/>
      <c r="D13" s="610"/>
      <c r="E13" s="610"/>
      <c r="F13" s="610"/>
      <c r="G13" s="610"/>
      <c r="H13" s="610"/>
      <c r="I13" s="610"/>
      <c r="J13" s="610"/>
      <c r="K13" s="610"/>
      <c r="L13" s="631"/>
      <c r="M13" s="632" t="s">
        <v>408</v>
      </c>
      <c r="N13" s="610"/>
      <c r="O13" s="611"/>
      <c r="P13" s="600"/>
      <c r="Q13" s="600"/>
      <c r="R13" s="1"/>
      <c r="S13" s="1"/>
      <c r="T13" s="1"/>
      <c r="U13" s="1"/>
      <c r="V13" s="1"/>
      <c r="W13" s="1"/>
      <c r="X13" s="1"/>
      <c r="Y13" s="1"/>
      <c r="Z13" s="1"/>
    </row>
    <row r="14">
      <c r="A14" s="600"/>
      <c r="B14" s="622" t="s">
        <v>415</v>
      </c>
      <c r="C14" s="623"/>
      <c r="D14" s="623"/>
      <c r="E14" s="623"/>
      <c r="F14" s="623"/>
      <c r="G14" s="623"/>
      <c r="H14" s="623"/>
      <c r="I14" s="623"/>
      <c r="J14" s="623"/>
      <c r="K14" s="623"/>
      <c r="L14" s="624"/>
      <c r="M14" s="625">
        <v>0.0</v>
      </c>
      <c r="N14" s="610"/>
      <c r="O14" s="611"/>
      <c r="P14" s="600"/>
      <c r="Q14" s="600"/>
      <c r="R14" s="1"/>
      <c r="S14" s="1"/>
      <c r="T14" s="1"/>
      <c r="U14" s="1"/>
      <c r="V14" s="1"/>
      <c r="W14" s="1"/>
      <c r="X14" s="1"/>
      <c r="Y14" s="1"/>
      <c r="Z14" s="1"/>
    </row>
    <row r="15">
      <c r="A15" s="600"/>
      <c r="B15" s="626" t="s">
        <v>416</v>
      </c>
      <c r="C15" s="627"/>
      <c r="D15" s="627"/>
      <c r="E15" s="627"/>
      <c r="F15" s="627"/>
      <c r="G15" s="627"/>
      <c r="H15" s="627"/>
      <c r="I15" s="627"/>
      <c r="J15" s="627"/>
      <c r="K15" s="627"/>
      <c r="L15" s="628"/>
      <c r="M15" s="629">
        <v>0.0</v>
      </c>
      <c r="N15" s="610"/>
      <c r="O15" s="611"/>
      <c r="P15" s="600"/>
      <c r="Q15" s="600"/>
      <c r="R15" s="1"/>
      <c r="S15" s="1"/>
      <c r="T15" s="1"/>
      <c r="U15" s="1"/>
      <c r="V15" s="1"/>
      <c r="W15" s="1"/>
      <c r="X15" s="1"/>
      <c r="Y15" s="1"/>
      <c r="Z15" s="1"/>
    </row>
    <row r="16">
      <c r="A16" s="600"/>
      <c r="B16" s="630" t="s">
        <v>417</v>
      </c>
      <c r="C16" s="610"/>
      <c r="D16" s="610"/>
      <c r="E16" s="610"/>
      <c r="F16" s="610"/>
      <c r="G16" s="610"/>
      <c r="H16" s="610"/>
      <c r="I16" s="610"/>
      <c r="J16" s="610"/>
      <c r="K16" s="610"/>
      <c r="L16" s="631"/>
      <c r="M16" s="632" t="s">
        <v>408</v>
      </c>
      <c r="N16" s="610"/>
      <c r="O16" s="611"/>
      <c r="P16" s="600"/>
      <c r="Q16" s="600"/>
      <c r="R16" s="1"/>
      <c r="S16" s="1"/>
      <c r="T16" s="1" t="s">
        <v>418</v>
      </c>
      <c r="U16" s="1"/>
      <c r="V16" s="1"/>
      <c r="W16" s="1"/>
      <c r="X16" s="1"/>
      <c r="Y16" s="1"/>
      <c r="Z16" s="1"/>
    </row>
    <row r="17">
      <c r="A17" s="600"/>
      <c r="B17" s="622" t="s">
        <v>419</v>
      </c>
      <c r="C17" s="623"/>
      <c r="D17" s="623"/>
      <c r="E17" s="623"/>
      <c r="F17" s="623"/>
      <c r="G17" s="623"/>
      <c r="H17" s="623"/>
      <c r="I17" s="623"/>
      <c r="J17" s="623"/>
      <c r="K17" s="623"/>
      <c r="L17" s="624"/>
      <c r="M17" s="625">
        <v>0.0</v>
      </c>
      <c r="N17" s="610"/>
      <c r="O17" s="611"/>
      <c r="P17" s="600"/>
      <c r="Q17" s="600"/>
      <c r="R17" s="1"/>
      <c r="S17" s="1"/>
      <c r="T17" s="1"/>
      <c r="U17" s="1"/>
      <c r="V17" s="1"/>
      <c r="W17" s="1"/>
      <c r="X17" s="1"/>
      <c r="Y17" s="1"/>
      <c r="Z17" s="1"/>
    </row>
    <row r="18">
      <c r="A18" s="600"/>
      <c r="B18" s="626" t="s">
        <v>420</v>
      </c>
      <c r="C18" s="627"/>
      <c r="D18" s="627"/>
      <c r="E18" s="627"/>
      <c r="F18" s="627"/>
      <c r="G18" s="627"/>
      <c r="H18" s="627"/>
      <c r="I18" s="627"/>
      <c r="J18" s="627"/>
      <c r="K18" s="627"/>
      <c r="L18" s="628"/>
      <c r="M18" s="629">
        <v>0.0</v>
      </c>
      <c r="N18" s="610"/>
      <c r="O18" s="611"/>
      <c r="P18" s="600"/>
      <c r="Q18" s="600"/>
      <c r="R18" s="1"/>
      <c r="S18" s="1"/>
      <c r="T18" s="1"/>
      <c r="U18" s="1"/>
      <c r="V18" s="1"/>
      <c r="W18" s="1"/>
      <c r="X18" s="1"/>
      <c r="Y18" s="1"/>
      <c r="Z18" s="1"/>
    </row>
    <row r="19">
      <c r="A19" s="600"/>
      <c r="B19" s="630" t="s">
        <v>421</v>
      </c>
      <c r="C19" s="610"/>
      <c r="D19" s="610"/>
      <c r="E19" s="610"/>
      <c r="F19" s="610"/>
      <c r="G19" s="610"/>
      <c r="H19" s="610"/>
      <c r="I19" s="610"/>
      <c r="J19" s="610"/>
      <c r="K19" s="610"/>
      <c r="L19" s="608"/>
      <c r="M19" s="632" t="s">
        <v>408</v>
      </c>
      <c r="N19" s="610"/>
      <c r="O19" s="611"/>
      <c r="P19" s="600"/>
      <c r="Q19" s="600"/>
      <c r="R19" s="1"/>
      <c r="S19" s="1"/>
      <c r="T19" s="1"/>
      <c r="U19" s="1"/>
      <c r="V19" s="1"/>
      <c r="W19" s="1"/>
      <c r="X19" s="1"/>
      <c r="Y19" s="1"/>
      <c r="Z19" s="1"/>
    </row>
    <row r="20">
      <c r="A20" s="600"/>
      <c r="B20" s="622" t="s">
        <v>422</v>
      </c>
      <c r="C20" s="623"/>
      <c r="D20" s="623"/>
      <c r="E20" s="623"/>
      <c r="F20" s="623"/>
      <c r="G20" s="623"/>
      <c r="H20" s="623"/>
      <c r="I20" s="623"/>
      <c r="J20" s="623"/>
      <c r="K20" s="623"/>
      <c r="L20" s="624"/>
      <c r="M20" s="625">
        <v>0.0</v>
      </c>
      <c r="N20" s="610"/>
      <c r="O20" s="611"/>
      <c r="P20" s="600"/>
      <c r="Q20" s="600"/>
      <c r="R20" s="1"/>
      <c r="S20" s="1"/>
      <c r="T20" s="633" t="s">
        <v>423</v>
      </c>
      <c r="U20" s="634"/>
      <c r="V20" s="634"/>
      <c r="W20" s="634"/>
      <c r="X20" s="634"/>
      <c r="Y20" s="634"/>
      <c r="Z20" s="635"/>
    </row>
    <row r="21" ht="15.75" customHeight="1">
      <c r="A21" s="600"/>
      <c r="B21" s="626" t="s">
        <v>424</v>
      </c>
      <c r="C21" s="627"/>
      <c r="D21" s="627"/>
      <c r="E21" s="627"/>
      <c r="F21" s="627"/>
      <c r="G21" s="627"/>
      <c r="H21" s="627"/>
      <c r="I21" s="627"/>
      <c r="J21" s="627"/>
      <c r="K21" s="627"/>
      <c r="L21" s="628"/>
      <c r="M21" s="629">
        <v>0.0</v>
      </c>
      <c r="N21" s="610"/>
      <c r="O21" s="611"/>
      <c r="P21" s="600"/>
      <c r="Q21" s="600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600"/>
      <c r="B22" s="630" t="s">
        <v>425</v>
      </c>
      <c r="C22" s="610"/>
      <c r="D22" s="610"/>
      <c r="E22" s="610"/>
      <c r="F22" s="610"/>
      <c r="G22" s="610"/>
      <c r="H22" s="610"/>
      <c r="I22" s="610"/>
      <c r="J22" s="610"/>
      <c r="K22" s="610"/>
      <c r="L22" s="608"/>
      <c r="M22" s="632" t="s">
        <v>408</v>
      </c>
      <c r="N22" s="610"/>
      <c r="O22" s="611"/>
      <c r="P22" s="600"/>
      <c r="Q22" s="600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600"/>
      <c r="B23" s="622" t="s">
        <v>426</v>
      </c>
      <c r="C23" s="623"/>
      <c r="D23" s="623"/>
      <c r="E23" s="623"/>
      <c r="F23" s="623"/>
      <c r="G23" s="623"/>
      <c r="H23" s="623"/>
      <c r="I23" s="623"/>
      <c r="J23" s="623"/>
      <c r="K23" s="623"/>
      <c r="L23" s="624"/>
      <c r="M23" s="625">
        <v>0.0</v>
      </c>
      <c r="N23" s="610"/>
      <c r="O23" s="611"/>
      <c r="P23" s="600"/>
      <c r="Q23" s="600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600"/>
      <c r="B24" s="626" t="s">
        <v>427</v>
      </c>
      <c r="C24" s="627"/>
      <c r="D24" s="627"/>
      <c r="E24" s="627"/>
      <c r="F24" s="627"/>
      <c r="G24" s="627"/>
      <c r="H24" s="627"/>
      <c r="I24" s="627"/>
      <c r="J24" s="627"/>
      <c r="K24" s="627"/>
      <c r="L24" s="628"/>
      <c r="M24" s="629">
        <v>0.0</v>
      </c>
      <c r="N24" s="610"/>
      <c r="O24" s="611"/>
      <c r="P24" s="600"/>
      <c r="Q24" s="600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600"/>
      <c r="B25" s="630" t="s">
        <v>428</v>
      </c>
      <c r="C25" s="610"/>
      <c r="D25" s="610"/>
      <c r="E25" s="610"/>
      <c r="F25" s="610"/>
      <c r="G25" s="610"/>
      <c r="H25" s="610"/>
      <c r="I25" s="610"/>
      <c r="J25" s="610"/>
      <c r="K25" s="610"/>
      <c r="L25" s="608"/>
      <c r="M25" s="632" t="s">
        <v>408</v>
      </c>
      <c r="N25" s="610"/>
      <c r="O25" s="611"/>
      <c r="P25" s="600"/>
      <c r="Q25" s="600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600"/>
      <c r="B26" s="622" t="s">
        <v>429</v>
      </c>
      <c r="C26" s="623"/>
      <c r="D26" s="623"/>
      <c r="E26" s="623"/>
      <c r="F26" s="623"/>
      <c r="G26" s="623"/>
      <c r="H26" s="623"/>
      <c r="I26" s="623"/>
      <c r="J26" s="623"/>
      <c r="K26" s="623"/>
      <c r="L26" s="624"/>
      <c r="M26" s="625">
        <v>0.0</v>
      </c>
      <c r="N26" s="610"/>
      <c r="O26" s="611"/>
      <c r="P26" s="600"/>
      <c r="Q26" s="600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600"/>
      <c r="B27" s="626" t="s">
        <v>430</v>
      </c>
      <c r="C27" s="627"/>
      <c r="D27" s="627"/>
      <c r="E27" s="627"/>
      <c r="F27" s="627"/>
      <c r="G27" s="627"/>
      <c r="H27" s="627"/>
      <c r="I27" s="627"/>
      <c r="J27" s="627"/>
      <c r="K27" s="627"/>
      <c r="L27" s="628"/>
      <c r="M27" s="629">
        <v>0.0</v>
      </c>
      <c r="N27" s="610"/>
      <c r="O27" s="611"/>
      <c r="P27" s="600"/>
      <c r="Q27" s="600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600"/>
      <c r="B28" s="630" t="s">
        <v>431</v>
      </c>
      <c r="C28" s="610"/>
      <c r="D28" s="610"/>
      <c r="E28" s="610"/>
      <c r="F28" s="610"/>
      <c r="G28" s="610"/>
      <c r="H28" s="610"/>
      <c r="I28" s="610"/>
      <c r="J28" s="610"/>
      <c r="K28" s="610"/>
      <c r="L28" s="608"/>
      <c r="M28" s="632" t="s">
        <v>408</v>
      </c>
      <c r="N28" s="610"/>
      <c r="O28" s="611"/>
      <c r="P28" s="600"/>
      <c r="Q28" s="600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600"/>
      <c r="B29" s="622" t="s">
        <v>432</v>
      </c>
      <c r="C29" s="623"/>
      <c r="D29" s="623"/>
      <c r="E29" s="623"/>
      <c r="F29" s="623"/>
      <c r="G29" s="623"/>
      <c r="H29" s="623"/>
      <c r="I29" s="623"/>
      <c r="J29" s="623"/>
      <c r="K29" s="623"/>
      <c r="L29" s="624"/>
      <c r="M29" s="625">
        <v>450000.0</v>
      </c>
      <c r="N29" s="610"/>
      <c r="O29" s="611"/>
      <c r="P29" s="600"/>
      <c r="Q29" s="600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600"/>
      <c r="B30" s="626" t="s">
        <v>433</v>
      </c>
      <c r="C30" s="627"/>
      <c r="D30" s="627"/>
      <c r="E30" s="627"/>
      <c r="F30" s="627"/>
      <c r="G30" s="627"/>
      <c r="H30" s="627"/>
      <c r="I30" s="627"/>
      <c r="J30" s="627"/>
      <c r="K30" s="627"/>
      <c r="L30" s="628"/>
      <c r="M30" s="629">
        <v>27000.0</v>
      </c>
      <c r="N30" s="610"/>
      <c r="O30" s="611"/>
      <c r="P30" s="600"/>
      <c r="Q30" s="600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600"/>
      <c r="B31" s="630" t="s">
        <v>434</v>
      </c>
      <c r="C31" s="610"/>
      <c r="D31" s="610"/>
      <c r="E31" s="610"/>
      <c r="F31" s="610"/>
      <c r="G31" s="610"/>
      <c r="H31" s="610"/>
      <c r="I31" s="610"/>
      <c r="J31" s="610"/>
      <c r="K31" s="610"/>
      <c r="L31" s="608"/>
      <c r="M31" s="632" t="s">
        <v>408</v>
      </c>
      <c r="N31" s="610"/>
      <c r="O31" s="611"/>
      <c r="P31" s="600"/>
      <c r="Q31" s="600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600"/>
      <c r="B32" s="622" t="s">
        <v>435</v>
      </c>
      <c r="C32" s="623"/>
      <c r="D32" s="623"/>
      <c r="E32" s="623"/>
      <c r="F32" s="623"/>
      <c r="G32" s="623"/>
      <c r="H32" s="623"/>
      <c r="I32" s="623"/>
      <c r="J32" s="623"/>
      <c r="K32" s="623"/>
      <c r="L32" s="624"/>
      <c r="M32" s="625">
        <v>550000.0</v>
      </c>
      <c r="N32" s="610"/>
      <c r="O32" s="611"/>
      <c r="P32" s="600"/>
      <c r="Q32" s="600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600"/>
      <c r="B33" s="626" t="s">
        <v>436</v>
      </c>
      <c r="C33" s="627"/>
      <c r="D33" s="627"/>
      <c r="E33" s="627"/>
      <c r="F33" s="627"/>
      <c r="G33" s="627"/>
      <c r="H33" s="627"/>
      <c r="I33" s="627"/>
      <c r="J33" s="627"/>
      <c r="K33" s="627"/>
      <c r="L33" s="628"/>
      <c r="M33" s="629">
        <v>25000.0</v>
      </c>
      <c r="N33" s="610"/>
      <c r="O33" s="611"/>
      <c r="P33" s="600"/>
      <c r="Q33" s="600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600"/>
      <c r="B34" s="630" t="s">
        <v>437</v>
      </c>
      <c r="C34" s="610"/>
      <c r="D34" s="610"/>
      <c r="E34" s="610"/>
      <c r="F34" s="610"/>
      <c r="G34" s="610"/>
      <c r="H34" s="610"/>
      <c r="I34" s="610"/>
      <c r="J34" s="610"/>
      <c r="K34" s="610"/>
      <c r="L34" s="608"/>
      <c r="M34" s="632" t="s">
        <v>408</v>
      </c>
      <c r="N34" s="610"/>
      <c r="O34" s="611"/>
      <c r="P34" s="600"/>
      <c r="Q34" s="600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600"/>
      <c r="B35" s="622" t="s">
        <v>438</v>
      </c>
      <c r="C35" s="623"/>
      <c r="D35" s="623"/>
      <c r="E35" s="623"/>
      <c r="F35" s="623"/>
      <c r="G35" s="623"/>
      <c r="H35" s="623"/>
      <c r="I35" s="623"/>
      <c r="J35" s="623"/>
      <c r="K35" s="623"/>
      <c r="L35" s="624"/>
      <c r="M35" s="625">
        <v>735360.0</v>
      </c>
      <c r="N35" s="610"/>
      <c r="O35" s="611"/>
      <c r="P35" s="600"/>
      <c r="Q35" s="600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600"/>
      <c r="B36" s="626" t="s">
        <v>439</v>
      </c>
      <c r="C36" s="627"/>
      <c r="D36" s="627"/>
      <c r="E36" s="627"/>
      <c r="F36" s="627"/>
      <c r="G36" s="627"/>
      <c r="H36" s="627"/>
      <c r="I36" s="627"/>
      <c r="J36" s="627"/>
      <c r="K36" s="627"/>
      <c r="L36" s="628"/>
      <c r="M36" s="629">
        <v>47000.0</v>
      </c>
      <c r="N36" s="610"/>
      <c r="O36" s="611"/>
      <c r="P36" s="600"/>
      <c r="Q36" s="600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600"/>
      <c r="B37" s="630" t="s">
        <v>440</v>
      </c>
      <c r="C37" s="610"/>
      <c r="D37" s="610"/>
      <c r="E37" s="610"/>
      <c r="F37" s="610"/>
      <c r="G37" s="610"/>
      <c r="H37" s="610"/>
      <c r="I37" s="610"/>
      <c r="J37" s="610"/>
      <c r="K37" s="610"/>
      <c r="L37" s="608"/>
      <c r="M37" s="632" t="s">
        <v>408</v>
      </c>
      <c r="N37" s="610"/>
      <c r="O37" s="611"/>
      <c r="P37" s="600"/>
      <c r="Q37" s="600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600"/>
      <c r="B38" s="622" t="s">
        <v>441</v>
      </c>
      <c r="C38" s="623"/>
      <c r="D38" s="623"/>
      <c r="E38" s="623"/>
      <c r="F38" s="623"/>
      <c r="G38" s="623"/>
      <c r="H38" s="623"/>
      <c r="I38" s="623"/>
      <c r="J38" s="623"/>
      <c r="K38" s="623"/>
      <c r="L38" s="624"/>
      <c r="M38" s="625">
        <v>1015360.0</v>
      </c>
      <c r="N38" s="610"/>
      <c r="O38" s="611"/>
      <c r="P38" s="600"/>
      <c r="Q38" s="600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600"/>
      <c r="B39" s="626" t="s">
        <v>442</v>
      </c>
      <c r="C39" s="627"/>
      <c r="D39" s="627"/>
      <c r="E39" s="627"/>
      <c r="F39" s="627"/>
      <c r="G39" s="627"/>
      <c r="H39" s="627"/>
      <c r="I39" s="627"/>
      <c r="J39" s="627"/>
      <c r="K39" s="627"/>
      <c r="L39" s="628"/>
      <c r="M39" s="629">
        <v>84000.0</v>
      </c>
      <c r="N39" s="610"/>
      <c r="O39" s="611"/>
      <c r="P39" s="600"/>
      <c r="Q39" s="600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600"/>
      <c r="B40" s="630" t="s">
        <v>443</v>
      </c>
      <c r="C40" s="610"/>
      <c r="D40" s="610"/>
      <c r="E40" s="610"/>
      <c r="F40" s="610"/>
      <c r="G40" s="610"/>
      <c r="H40" s="610"/>
      <c r="I40" s="610"/>
      <c r="J40" s="610"/>
      <c r="K40" s="610"/>
      <c r="L40" s="608"/>
      <c r="M40" s="632" t="s">
        <v>408</v>
      </c>
      <c r="N40" s="610"/>
      <c r="O40" s="611"/>
      <c r="P40" s="600"/>
      <c r="Q40" s="600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600"/>
      <c r="B41" s="622" t="s">
        <v>444</v>
      </c>
      <c r="C41" s="623"/>
      <c r="D41" s="623"/>
      <c r="E41" s="623"/>
      <c r="F41" s="623"/>
      <c r="G41" s="623"/>
      <c r="H41" s="623"/>
      <c r="I41" s="623"/>
      <c r="J41" s="623"/>
      <c r="K41" s="623"/>
      <c r="L41" s="624"/>
      <c r="M41" s="625">
        <v>1099730.0</v>
      </c>
      <c r="N41" s="610"/>
      <c r="O41" s="611"/>
      <c r="P41" s="600"/>
      <c r="Q41" s="600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600"/>
      <c r="B42" s="626" t="s">
        <v>445</v>
      </c>
      <c r="C42" s="627"/>
      <c r="D42" s="627"/>
      <c r="E42" s="627"/>
      <c r="F42" s="627"/>
      <c r="G42" s="627"/>
      <c r="H42" s="627"/>
      <c r="I42" s="627"/>
      <c r="J42" s="627"/>
      <c r="K42" s="627"/>
      <c r="L42" s="628"/>
      <c r="M42" s="629">
        <v>58000.0</v>
      </c>
      <c r="N42" s="610"/>
      <c r="O42" s="611"/>
      <c r="P42" s="600"/>
      <c r="Q42" s="600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600"/>
      <c r="B43" s="630" t="s">
        <v>446</v>
      </c>
      <c r="C43" s="610"/>
      <c r="D43" s="610"/>
      <c r="E43" s="610"/>
      <c r="F43" s="610"/>
      <c r="G43" s="610"/>
      <c r="H43" s="610"/>
      <c r="I43" s="610"/>
      <c r="J43" s="610"/>
      <c r="K43" s="610"/>
      <c r="L43" s="608"/>
      <c r="M43" s="632" t="s">
        <v>408</v>
      </c>
      <c r="N43" s="610"/>
      <c r="O43" s="611"/>
      <c r="P43" s="600"/>
      <c r="Q43" s="600"/>
      <c r="R43" s="1"/>
      <c r="S43" s="1"/>
      <c r="T43" s="1"/>
      <c r="U43" s="1"/>
      <c r="V43" s="1"/>
      <c r="W43" s="1"/>
      <c r="X43" s="1"/>
      <c r="Y43" s="1"/>
      <c r="Z43" s="1"/>
    </row>
    <row r="44" ht="33.0" customHeight="1">
      <c r="A44" s="600"/>
      <c r="B44" s="636" t="s">
        <v>447</v>
      </c>
      <c r="C44" s="615"/>
      <c r="D44" s="615"/>
      <c r="E44" s="615"/>
      <c r="F44" s="615"/>
      <c r="G44" s="615"/>
      <c r="H44" s="615"/>
      <c r="I44" s="615"/>
      <c r="J44" s="615"/>
      <c r="K44" s="615"/>
      <c r="L44" s="613"/>
      <c r="M44" s="637" t="str">
        <f>COMPUTATION!O50</f>
        <v>#ERROR!</v>
      </c>
      <c r="N44" s="615"/>
      <c r="O44" s="617"/>
      <c r="P44" s="600"/>
      <c r="Q44" s="600"/>
      <c r="R44" s="638"/>
      <c r="S44" s="638"/>
      <c r="T44" s="638"/>
      <c r="U44" s="638"/>
      <c r="V44" s="638"/>
      <c r="W44" s="638"/>
      <c r="X44" s="638"/>
      <c r="Y44" s="638"/>
      <c r="Z44" s="638"/>
    </row>
    <row r="45" ht="15.75" customHeight="1">
      <c r="A45" s="600"/>
      <c r="B45" s="600"/>
      <c r="C45" s="600"/>
      <c r="D45" s="600"/>
      <c r="E45" s="600"/>
      <c r="F45" s="600"/>
      <c r="G45" s="600"/>
      <c r="H45" s="600"/>
      <c r="I45" s="600"/>
      <c r="J45" s="600"/>
      <c r="K45" s="600"/>
      <c r="L45" s="600"/>
      <c r="M45" s="600"/>
      <c r="N45" s="600"/>
      <c r="O45" s="600"/>
      <c r="P45" s="600"/>
      <c r="Q45" s="600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600"/>
      <c r="B46" s="600"/>
      <c r="C46" s="600"/>
      <c r="D46" s="600"/>
      <c r="E46" s="600"/>
      <c r="F46" s="600"/>
      <c r="G46" s="600"/>
      <c r="H46" s="600"/>
      <c r="I46" s="600"/>
      <c r="J46" s="600"/>
      <c r="K46" s="600"/>
      <c r="L46" s="600"/>
      <c r="M46" s="600"/>
      <c r="N46" s="600"/>
      <c r="O46" s="600"/>
      <c r="P46" s="600"/>
      <c r="Q46" s="600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600"/>
      <c r="B47" s="600"/>
      <c r="C47" s="600"/>
      <c r="D47" s="600"/>
      <c r="E47" s="600"/>
      <c r="F47" s="600"/>
      <c r="G47" s="600"/>
      <c r="H47" s="600"/>
      <c r="I47" s="600"/>
      <c r="J47" s="600"/>
      <c r="K47" s="600"/>
      <c r="L47" s="600"/>
      <c r="M47" s="600"/>
      <c r="N47" s="600"/>
      <c r="O47" s="600"/>
      <c r="P47" s="600"/>
      <c r="Q47" s="600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600"/>
      <c r="B48" s="600"/>
      <c r="C48" s="600"/>
      <c r="D48" s="600"/>
      <c r="E48" s="600"/>
      <c r="F48" s="600"/>
      <c r="G48" s="600"/>
      <c r="H48" s="600"/>
      <c r="I48" s="600"/>
      <c r="J48" s="600"/>
      <c r="K48" s="600"/>
      <c r="L48" s="600"/>
      <c r="M48" s="600"/>
      <c r="N48" s="600"/>
      <c r="O48" s="600"/>
      <c r="P48" s="600"/>
      <c r="Q48" s="600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600"/>
      <c r="B49" s="600"/>
      <c r="C49" s="600"/>
      <c r="D49" s="600"/>
      <c r="E49" s="600"/>
      <c r="F49" s="600"/>
      <c r="G49" s="600"/>
      <c r="H49" s="600"/>
      <c r="I49" s="600"/>
      <c r="J49" s="600"/>
      <c r="K49" s="600"/>
      <c r="L49" s="600"/>
      <c r="M49" s="600"/>
      <c r="N49" s="600"/>
      <c r="O49" s="600"/>
      <c r="P49" s="600"/>
      <c r="Q49" s="600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600"/>
      <c r="B50" s="600"/>
      <c r="C50" s="600"/>
      <c r="D50" s="600"/>
      <c r="E50" s="600"/>
      <c r="F50" s="600"/>
      <c r="G50" s="600"/>
      <c r="H50" s="600"/>
      <c r="I50" s="600"/>
      <c r="J50" s="600"/>
      <c r="K50" s="600"/>
      <c r="L50" s="600"/>
      <c r="M50" s="600"/>
      <c r="N50" s="600"/>
      <c r="O50" s="600"/>
      <c r="P50" s="600"/>
      <c r="Q50" s="600"/>
      <c r="R50" s="1"/>
      <c r="S50" s="1"/>
      <c r="T50" s="1"/>
      <c r="U50" s="1"/>
      <c r="V50" s="1"/>
      <c r="W50" s="1"/>
      <c r="X50" s="1"/>
      <c r="Y50" s="1"/>
      <c r="Z50" s="1"/>
    </row>
    <row r="51" ht="15.75" hidden="1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hidden="1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hidden="1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0" hidden="1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0" hidden="1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6">
    <mergeCell ref="B24:L24"/>
    <mergeCell ref="M24:O24"/>
    <mergeCell ref="B25:L25"/>
    <mergeCell ref="M25:O25"/>
    <mergeCell ref="B26:L26"/>
    <mergeCell ref="M26:O26"/>
    <mergeCell ref="M27:O27"/>
    <mergeCell ref="B27:L27"/>
    <mergeCell ref="B28:L28"/>
    <mergeCell ref="M28:O28"/>
    <mergeCell ref="B29:L29"/>
    <mergeCell ref="M29:O29"/>
    <mergeCell ref="B30:L30"/>
    <mergeCell ref="M30:O30"/>
    <mergeCell ref="B31:L31"/>
    <mergeCell ref="M31:O31"/>
    <mergeCell ref="B32:L32"/>
    <mergeCell ref="M32:O32"/>
    <mergeCell ref="B33:L33"/>
    <mergeCell ref="M33:O33"/>
    <mergeCell ref="M34:O34"/>
    <mergeCell ref="B34:L34"/>
    <mergeCell ref="B35:L35"/>
    <mergeCell ref="M35:O35"/>
    <mergeCell ref="B36:L36"/>
    <mergeCell ref="M36:O36"/>
    <mergeCell ref="B37:L37"/>
    <mergeCell ref="M37:O37"/>
    <mergeCell ref="B41:L41"/>
    <mergeCell ref="B42:L42"/>
    <mergeCell ref="M42:O42"/>
    <mergeCell ref="B43:L43"/>
    <mergeCell ref="M43:O43"/>
    <mergeCell ref="B44:L44"/>
    <mergeCell ref="M44:O44"/>
    <mergeCell ref="B38:L38"/>
    <mergeCell ref="M38:O38"/>
    <mergeCell ref="B39:L39"/>
    <mergeCell ref="M39:O39"/>
    <mergeCell ref="B40:L40"/>
    <mergeCell ref="M40:O40"/>
    <mergeCell ref="M41:O41"/>
    <mergeCell ref="I5:J5"/>
    <mergeCell ref="K5:O5"/>
    <mergeCell ref="B1:O2"/>
    <mergeCell ref="B3:C3"/>
    <mergeCell ref="D3:O3"/>
    <mergeCell ref="B4:C4"/>
    <mergeCell ref="D4:O4"/>
    <mergeCell ref="B5:C5"/>
    <mergeCell ref="D5:H5"/>
    <mergeCell ref="B7:L7"/>
    <mergeCell ref="M7:O7"/>
    <mergeCell ref="B8:L8"/>
    <mergeCell ref="M8:O8"/>
    <mergeCell ref="B9:L9"/>
    <mergeCell ref="M9:O9"/>
    <mergeCell ref="M10:O10"/>
    <mergeCell ref="B10:L10"/>
    <mergeCell ref="B11:L11"/>
    <mergeCell ref="M11:O11"/>
    <mergeCell ref="B12:L12"/>
    <mergeCell ref="M12:O12"/>
    <mergeCell ref="B13:L13"/>
    <mergeCell ref="M13:O13"/>
    <mergeCell ref="B14:L14"/>
    <mergeCell ref="M14:O14"/>
    <mergeCell ref="B15:L15"/>
    <mergeCell ref="M15:O15"/>
    <mergeCell ref="B16:L16"/>
    <mergeCell ref="M16:O16"/>
    <mergeCell ref="M17:O17"/>
    <mergeCell ref="B17:L17"/>
    <mergeCell ref="B18:L18"/>
    <mergeCell ref="M18:O18"/>
    <mergeCell ref="B19:L19"/>
    <mergeCell ref="M19:O19"/>
    <mergeCell ref="M20:O20"/>
    <mergeCell ref="T20:Z20"/>
    <mergeCell ref="B20:L20"/>
    <mergeCell ref="B21:L21"/>
    <mergeCell ref="M21:O21"/>
    <mergeCell ref="B22:L22"/>
    <mergeCell ref="M22:O22"/>
    <mergeCell ref="B23:L23"/>
    <mergeCell ref="M23:O23"/>
  </mergeCells>
  <printOptions/>
  <pageMargins bottom="0.75" footer="0.0" header="0.0" left="0.7" right="0.7" top="0.75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5.14"/>
    <col customWidth="1" min="2" max="2" width="6.0"/>
    <col customWidth="1" min="3" max="3" width="5.86"/>
    <col customWidth="1" min="4" max="7" width="6.71"/>
    <col customWidth="1" min="8" max="8" width="7.43"/>
    <col customWidth="1" min="9" max="9" width="8.29"/>
    <col customWidth="1" min="10" max="11" width="7.43"/>
    <col customWidth="1" min="12" max="12" width="7.0"/>
    <col customWidth="1" min="13" max="13" width="7.57"/>
    <col customWidth="1" min="14" max="14" width="6.29"/>
    <col customWidth="1" min="15" max="15" width="6.14"/>
    <col customWidth="1" min="16" max="18" width="8.86"/>
    <col customWidth="1" min="19" max="19" width="10.43"/>
    <col customWidth="1" min="20" max="20" width="8.86"/>
    <col customWidth="1" hidden="1" min="21" max="25" width="8.86"/>
    <col customWidth="1" hidden="1" min="26" max="26" width="9.14"/>
    <col customWidth="1" hidden="1" min="27" max="51" width="8.86"/>
  </cols>
  <sheetData>
    <row r="1" ht="19.5" customHeight="1">
      <c r="A1" s="1"/>
      <c r="B1" s="639" t="s">
        <v>448</v>
      </c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</row>
    <row r="2" ht="30.75" customHeight="1">
      <c r="A2" s="1"/>
      <c r="B2" s="640" t="s">
        <v>449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</row>
    <row r="3">
      <c r="A3" s="1"/>
      <c r="B3" s="641" t="s">
        <v>403</v>
      </c>
      <c r="C3" s="295"/>
      <c r="D3" s="642" t="str">
        <f>UPPER(IF('Master Data'!D6="","",'Master Data'!D6))</f>
        <v>MANJU KUMARI </v>
      </c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5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</row>
    <row r="4">
      <c r="A4" s="1"/>
      <c r="B4" s="641" t="s">
        <v>404</v>
      </c>
      <c r="C4" s="295"/>
      <c r="D4" s="642" t="str">
        <f>UPPER(IF('89 (1) Form'!D4="","",'89 (1) Form'!D4))</f>
        <v/>
      </c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5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</row>
    <row r="5">
      <c r="A5" s="1"/>
      <c r="B5" s="641" t="s">
        <v>273</v>
      </c>
      <c r="C5" s="295"/>
      <c r="D5" s="642" t="str">
        <f>IF(AND('Master Data'!D12=""),"",UPPER('Master Data'!D12))</f>
        <v>
HXLPK3160E</v>
      </c>
      <c r="E5" s="294"/>
      <c r="F5" s="294"/>
      <c r="G5" s="294"/>
      <c r="H5" s="295"/>
      <c r="I5" s="643" t="s">
        <v>405</v>
      </c>
      <c r="J5" s="295"/>
      <c r="K5" s="642" t="str">
        <f>IF(AND('89 (1) Form'!K5=""),"",UPPER('89 (1) Form'!K5))</f>
        <v>INDIAN RESIDENT </v>
      </c>
      <c r="L5" s="294"/>
      <c r="M5" s="294"/>
      <c r="N5" s="294"/>
      <c r="O5" s="295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</row>
    <row r="6">
      <c r="A6" s="1"/>
      <c r="B6" s="644" t="s">
        <v>450</v>
      </c>
      <c r="C6" s="294"/>
      <c r="D6" s="294"/>
      <c r="E6" s="294"/>
      <c r="F6" s="294"/>
      <c r="G6" s="294"/>
      <c r="H6" s="294"/>
      <c r="I6" s="294"/>
      <c r="J6" s="294"/>
      <c r="K6" s="294"/>
      <c r="L6" s="294"/>
      <c r="M6" s="294"/>
      <c r="N6" s="294"/>
      <c r="O6" s="295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</row>
    <row r="7">
      <c r="A7" s="1"/>
      <c r="B7" s="645" t="s">
        <v>451</v>
      </c>
      <c r="C7" s="294"/>
      <c r="D7" s="294"/>
      <c r="E7" s="294"/>
      <c r="F7" s="294"/>
      <c r="G7" s="294"/>
      <c r="H7" s="294"/>
      <c r="I7" s="294"/>
      <c r="J7" s="294"/>
      <c r="K7" s="294"/>
      <c r="L7" s="295"/>
      <c r="M7" s="646">
        <f>'89 (1) Form'!M9+'89 (1) Form'!M12+'89 (1) Form'!M15+'89 (1) Form'!M18+'89 (1) Form'!M21+'89 (1) Form'!M24+'89 (1) Form'!M27+'89 (1) Form'!M30+'89 (1) Form'!M33+'89 (1) Form'!M36+'89 (1) Form'!M39+'89 (1) Form'!M42</f>
        <v>241000</v>
      </c>
      <c r="N7" s="294"/>
      <c r="O7" s="295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</row>
    <row r="8">
      <c r="A8" s="1"/>
      <c r="B8" s="645" t="s">
        <v>452</v>
      </c>
      <c r="C8" s="294"/>
      <c r="D8" s="294"/>
      <c r="E8" s="294"/>
      <c r="F8" s="294"/>
      <c r="G8" s="294"/>
      <c r="H8" s="294"/>
      <c r="I8" s="294"/>
      <c r="J8" s="294"/>
      <c r="K8" s="294"/>
      <c r="L8" s="295"/>
      <c r="M8" s="647" t="s">
        <v>453</v>
      </c>
      <c r="N8" s="294"/>
      <c r="O8" s="295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</row>
    <row r="9">
      <c r="A9" s="1"/>
      <c r="B9" s="645" t="s">
        <v>454</v>
      </c>
      <c r="C9" s="294"/>
      <c r="D9" s="294"/>
      <c r="E9" s="294"/>
      <c r="F9" s="294"/>
      <c r="G9" s="294"/>
      <c r="H9" s="294"/>
      <c r="I9" s="294"/>
      <c r="J9" s="294"/>
      <c r="K9" s="294"/>
      <c r="L9" s="295"/>
      <c r="M9" s="647" t="s">
        <v>453</v>
      </c>
      <c r="N9" s="294"/>
      <c r="O9" s="295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</row>
    <row r="10">
      <c r="A10" s="1"/>
      <c r="B10" s="645" t="s">
        <v>455</v>
      </c>
      <c r="C10" s="294"/>
      <c r="D10" s="294"/>
      <c r="E10" s="294"/>
      <c r="F10" s="294"/>
      <c r="G10" s="294"/>
      <c r="H10" s="294"/>
      <c r="I10" s="294"/>
      <c r="J10" s="294"/>
      <c r="K10" s="294"/>
      <c r="L10" s="295"/>
      <c r="M10" s="647" t="s">
        <v>453</v>
      </c>
      <c r="N10" s="294"/>
      <c r="O10" s="295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</row>
    <row r="11">
      <c r="A11" s="1"/>
      <c r="B11" s="645" t="s">
        <v>456</v>
      </c>
      <c r="C11" s="294"/>
      <c r="D11" s="294"/>
      <c r="E11" s="294"/>
      <c r="F11" s="294"/>
      <c r="G11" s="294"/>
      <c r="H11" s="294"/>
      <c r="I11" s="294"/>
      <c r="J11" s="294"/>
      <c r="K11" s="294"/>
      <c r="L11" s="295"/>
      <c r="M11" s="647" t="s">
        <v>457</v>
      </c>
      <c r="N11" s="294"/>
      <c r="O11" s="295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</row>
    <row r="12">
      <c r="A12" s="1"/>
      <c r="B12" s="648" t="s">
        <v>458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</row>
    <row r="13">
      <c r="A13" s="1"/>
      <c r="B13" s="649" t="s">
        <v>459</v>
      </c>
      <c r="C13" s="650" t="str">
        <f>UPPER(IF('Master Data'!D6="","",'Master Data'!D6))</f>
        <v>MANJU KUMARI </v>
      </c>
      <c r="G13" s="651" t="s">
        <v>460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</row>
    <row r="14">
      <c r="A14" s="1"/>
      <c r="B14" s="651" t="s">
        <v>461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</row>
    <row r="15">
      <c r="A15" s="1"/>
      <c r="B15" s="652" t="s">
        <v>462</v>
      </c>
      <c r="E15" s="653">
        <f>TODAY()</f>
        <v>46001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</row>
    <row r="16">
      <c r="A16" s="1"/>
      <c r="B16" s="1" t="s">
        <v>463</v>
      </c>
      <c r="C16" s="23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</row>
    <row r="17">
      <c r="A17" s="1"/>
      <c r="B17" s="1" t="s">
        <v>464</v>
      </c>
      <c r="C17" s="654"/>
      <c r="E17" s="1"/>
      <c r="F17" s="1"/>
      <c r="G17" s="1"/>
      <c r="H17" s="1"/>
      <c r="I17" s="1"/>
      <c r="J17" s="1"/>
      <c r="K17" s="1"/>
      <c r="L17" s="655" t="s">
        <v>465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</row>
    <row r="19">
      <c r="A19" s="1"/>
      <c r="B19" s="656" t="s">
        <v>466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</row>
    <row r="20">
      <c r="A20" s="1"/>
      <c r="B20" s="657"/>
      <c r="C20" s="657"/>
      <c r="D20" s="657"/>
      <c r="E20" s="657"/>
      <c r="F20" s="657" t="s">
        <v>467</v>
      </c>
      <c r="L20" s="657"/>
      <c r="M20" s="657"/>
      <c r="N20" s="657"/>
      <c r="O20" s="657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</row>
    <row r="21" ht="15.75" customHeight="1">
      <c r="A21" s="1"/>
      <c r="B21" s="658" t="s">
        <v>468</v>
      </c>
      <c r="C21" s="294"/>
      <c r="D21" s="294"/>
      <c r="E21" s="294"/>
      <c r="F21" s="294"/>
      <c r="G21" s="294"/>
      <c r="H21" s="294"/>
      <c r="I21" s="294"/>
      <c r="J21" s="294"/>
      <c r="K21" s="294"/>
      <c r="L21" s="295"/>
      <c r="M21" s="659" t="str">
        <f>M23-M22</f>
        <v>#ERROR!</v>
      </c>
      <c r="N21" s="294"/>
      <c r="O21" s="29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>
        <f>COMPUTATION!T14</f>
        <v>2</v>
      </c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</row>
    <row r="22" ht="15.75" customHeight="1">
      <c r="A22" s="1"/>
      <c r="B22" s="658" t="s">
        <v>469</v>
      </c>
      <c r="C22" s="294"/>
      <c r="D22" s="294"/>
      <c r="E22" s="294"/>
      <c r="F22" s="294"/>
      <c r="G22" s="294"/>
      <c r="H22" s="294"/>
      <c r="I22" s="294"/>
      <c r="J22" s="294"/>
      <c r="K22" s="294"/>
      <c r="L22" s="295"/>
      <c r="M22" s="646">
        <f>M7</f>
        <v>241000</v>
      </c>
      <c r="N22" s="294"/>
      <c r="O22" s="295"/>
      <c r="P22" s="1"/>
      <c r="Q22" s="660" t="s">
        <v>470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>
        <v>1.0</v>
      </c>
      <c r="AT22" s="1"/>
      <c r="AU22" s="1"/>
      <c r="AV22" s="1"/>
      <c r="AW22" s="1"/>
      <c r="AX22" s="1"/>
      <c r="AY22" s="1"/>
    </row>
    <row r="23" ht="15.75" customHeight="1">
      <c r="A23" s="1"/>
      <c r="B23" s="661" t="s">
        <v>471</v>
      </c>
      <c r="C23" s="294"/>
      <c r="D23" s="294"/>
      <c r="E23" s="294"/>
      <c r="F23" s="294"/>
      <c r="G23" s="294"/>
      <c r="H23" s="294"/>
      <c r="I23" s="294"/>
      <c r="J23" s="294"/>
      <c r="K23" s="294"/>
      <c r="L23" s="295"/>
      <c r="M23" s="659" t="str">
        <f>'89 (1) Form'!M44</f>
        <v>#ERROR!</v>
      </c>
      <c r="N23" s="294"/>
      <c r="O23" s="295"/>
      <c r="P23" s="1"/>
      <c r="T23" s="1"/>
      <c r="U23" s="1"/>
      <c r="V23" s="1"/>
      <c r="W23" s="1"/>
      <c r="X23" s="1"/>
      <c r="Y23" s="1"/>
      <c r="Z23" s="1"/>
      <c r="AA23" s="1" t="str">
        <f>ROUND(IF(M23&lt;=250000,0,IF(M23&lt;=500000,(M23-250000)*0.05,IF(M23&lt;=1000000,12500+(M23-500000)*0.2,IF(M23&gt;1000000,112500+(M23-1000000)*0.3,"0")))),0)</f>
        <v>#ERROR!</v>
      </c>
      <c r="AB23" s="1" t="str">
        <f>IF(AND(M23=0),0,ROUND(IF(AND(M23&lt;=500000),AA23-12500,AA23),0))</f>
        <v>#ERROR!</v>
      </c>
      <c r="AC23" s="1" t="str">
        <f t="shared" ref="AC23:AC24" si="1">ROUND(IF(AND(AB23&lt;=0),0,AB23),0)</f>
        <v>#ERROR!</v>
      </c>
      <c r="AD23" s="1" t="str">
        <f t="shared" ref="AD23:AD24" si="2">ROUND(AC23*4%,0)</f>
        <v>#ERROR!</v>
      </c>
      <c r="AE23" s="662" t="str">
        <f t="shared" ref="AE23:AE24" si="3">AC23+AD23</f>
        <v>#ERROR!</v>
      </c>
      <c r="AF23" s="1" t="str">
        <f>ROUND(IF(M23&lt;=400000,0,IF(M23&lt;=800000,(M23-400000)*0.05,IF(M23&lt;=1200000,20000+(M23-800000)*0.1,IF(M23&lt;=1600000,60000+(M23-1200000)*0.15,IF(M23&lt;=2000000,120000+(M23-1600000)*0.2,IF(M23&lt;=2400000,200000+(M23-2000000)*0.25,IF(M23&gt;2400000,300000+(M23-2400000)*0.3,"0"))))))),0)</f>
        <v>#ERROR!</v>
      </c>
      <c r="AG23" s="1" t="str">
        <f t="shared" ref="AG23:AG24" si="4">IF(AND(M23=0),0,ROUND(IF(AND(M23&lt;=1200000),AF23-60000,AF23),0))</f>
        <v>#ERROR!</v>
      </c>
      <c r="AH23" s="1" t="str">
        <f t="shared" ref="AH23:AH24" si="5">ROUND(IF(AND(AG23&lt;=0),0,AG23),0)</f>
        <v>#ERROR!</v>
      </c>
      <c r="AI23" s="1" t="str">
        <f t="shared" ref="AI23:AI24" si="6">ROUND(AH23*4%,0)</f>
        <v>#ERROR!</v>
      </c>
      <c r="AJ23" s="662" t="str">
        <f t="shared" ref="AJ23:AJ24" si="7">SUM(AH23+AI23)</f>
        <v>#ERROR!</v>
      </c>
      <c r="AK23" s="1"/>
      <c r="AL23" s="1"/>
      <c r="AM23" s="1"/>
      <c r="AN23" s="1"/>
      <c r="AO23" s="1"/>
      <c r="AP23" s="1"/>
      <c r="AQ23" s="1"/>
      <c r="AR23" s="1"/>
      <c r="AS23" s="1">
        <v>1.0</v>
      </c>
      <c r="AT23" s="1"/>
      <c r="AU23" s="1"/>
      <c r="AV23" s="1"/>
      <c r="AW23" s="1"/>
      <c r="AX23" s="1"/>
      <c r="AY23" s="1"/>
    </row>
    <row r="24" ht="15.75" customHeight="1">
      <c r="A24" s="1"/>
      <c r="B24" s="658" t="s">
        <v>472</v>
      </c>
      <c r="C24" s="294"/>
      <c r="D24" s="294"/>
      <c r="E24" s="294"/>
      <c r="F24" s="294"/>
      <c r="G24" s="294"/>
      <c r="H24" s="294"/>
      <c r="I24" s="294"/>
      <c r="J24" s="294"/>
      <c r="K24" s="294"/>
      <c r="L24" s="295"/>
      <c r="M24" s="663" t="str">
        <f>IF(AF21=1,AE23,AJ23)</f>
        <v>#ERROR!</v>
      </c>
      <c r="N24" s="294"/>
      <c r="O24" s="295"/>
      <c r="P24" s="1"/>
      <c r="T24" s="1"/>
      <c r="U24" s="1"/>
      <c r="V24" s="1"/>
      <c r="W24" s="1"/>
      <c r="X24" s="1"/>
      <c r="Y24" s="1"/>
      <c r="Z24" s="1"/>
      <c r="AA24" s="1" t="str">
        <f>ROUND(IF(M21&lt;=400000,0,IF(M21&lt;=800000,(M21-400000)*0.05,IF(M21&lt;=1200000,20000+(M21-800000)*0.1,IF(M21&gt;1600000,60000+(M21-1200000)*0.15,"0")))),0)</f>
        <v>#ERROR!</v>
      </c>
      <c r="AB24" s="1" t="str">
        <f>IF(M21&lt;500001,AA24-MIN(AA24,12500),AA24)</f>
        <v>#ERROR!</v>
      </c>
      <c r="AC24" s="1" t="str">
        <f t="shared" si="1"/>
        <v>#ERROR!</v>
      </c>
      <c r="AD24" s="1" t="str">
        <f t="shared" si="2"/>
        <v>#ERROR!</v>
      </c>
      <c r="AE24" s="662" t="str">
        <f t="shared" si="3"/>
        <v>#ERROR!</v>
      </c>
      <c r="AF24" s="1" t="str">
        <f>ROUND(IF(M21&lt;=400000,0,IF(M21&lt;=800000,(M21-400000)*0.05,IF(M21&lt;=1200000,20000+(M21-800000)*0.1,IF(M21&lt;=1600000,60000+(M21-1200000)*0.15,IF(M21&lt;=2000000,120000+(M21-1600000)*0.2,IF(M21&lt;=2400000,200000+(M21-2000000)*0.25,IF(M21&gt;2400000,300000+(M21-2400000)*0.3,"0"))))))),0)</f>
        <v>#ERROR!</v>
      </c>
      <c r="AG24" s="1" t="str">
        <f t="shared" si="4"/>
        <v>#ERROR!</v>
      </c>
      <c r="AH24" s="1" t="str">
        <f t="shared" si="5"/>
        <v>#ERROR!</v>
      </c>
      <c r="AI24" s="1" t="str">
        <f t="shared" si="6"/>
        <v>#ERROR!</v>
      </c>
      <c r="AJ24" s="662" t="str">
        <f t="shared" si="7"/>
        <v>#ERROR!</v>
      </c>
      <c r="AK24" s="1"/>
      <c r="AL24" s="1"/>
      <c r="AM24" s="1"/>
      <c r="AN24" s="1"/>
      <c r="AO24" s="1"/>
      <c r="AP24" s="1"/>
      <c r="AQ24" s="1"/>
      <c r="AR24" s="1"/>
      <c r="AS24" s="1">
        <v>1.0</v>
      </c>
      <c r="AT24" s="1"/>
      <c r="AU24" s="1"/>
      <c r="AV24" s="1"/>
      <c r="AW24" s="1"/>
      <c r="AX24" s="1"/>
      <c r="AY24" s="1"/>
    </row>
    <row r="25" ht="15.75" customHeight="1">
      <c r="A25" s="1"/>
      <c r="B25" s="658" t="s">
        <v>473</v>
      </c>
      <c r="C25" s="294"/>
      <c r="D25" s="294"/>
      <c r="E25" s="294"/>
      <c r="F25" s="294"/>
      <c r="G25" s="294"/>
      <c r="H25" s="294"/>
      <c r="I25" s="294"/>
      <c r="J25" s="294"/>
      <c r="K25" s="294"/>
      <c r="L25" s="295"/>
      <c r="M25" s="664" t="str">
        <f>IF(AF21=1,AE24,AJ24)</f>
        <v>#ERROR!</v>
      </c>
      <c r="N25" s="294"/>
      <c r="O25" s="295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str">
        <f>ROUND(IF(M21&lt;400001,0,IF(M21&gt;800001,20000,((M21-400000)*0.05))),0)</f>
        <v>#ERROR!</v>
      </c>
      <c r="AA25" s="1" t="str">
        <f>ROUND(IF(M21&lt;800001,0,IF(M21&gt;1200001,40000,((M21-800000)*0.1))),0)</f>
        <v>#ERROR!</v>
      </c>
      <c r="AB25" s="1" t="str">
        <f>ROUND(IF(M21&lt;1200001,0,IF(M21&gt;1600001,30000,((M21-1200000)*0.15))),0)</f>
        <v>#ERROR!</v>
      </c>
      <c r="AC25" s="1" t="str">
        <f>ROUND(IF(M21&lt;1600001,0,IF(M21&gt;2000001,60000,((M21-1600000)*0.2))),0)</f>
        <v>#ERROR!</v>
      </c>
      <c r="AD25" s="1" t="str">
        <f>ROUND(IF(M21&lt;2000001,0,IF(M21&gt;2400001,60000,((M21-2000000)*0.25))),0)</f>
        <v>#ERROR!</v>
      </c>
      <c r="AE25" s="1" t="str">
        <f>ROUND(IF(M21&lt;2400001,0,(M21-2400000)*0.3),0)</f>
        <v>#ERROR!</v>
      </c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>
        <v>2.0</v>
      </c>
      <c r="AT25" s="1"/>
      <c r="AU25" s="1"/>
      <c r="AV25" s="1"/>
      <c r="AW25" s="1"/>
      <c r="AX25" s="1"/>
      <c r="AY25" s="1"/>
    </row>
    <row r="26" ht="15.75" customHeight="1">
      <c r="A26" s="1"/>
      <c r="B26" s="658" t="s">
        <v>474</v>
      </c>
      <c r="C26" s="294"/>
      <c r="D26" s="294"/>
      <c r="E26" s="294"/>
      <c r="F26" s="294"/>
      <c r="G26" s="294"/>
      <c r="H26" s="294"/>
      <c r="I26" s="294"/>
      <c r="J26" s="294"/>
      <c r="K26" s="294"/>
      <c r="L26" s="295"/>
      <c r="M26" s="664" t="str">
        <f>M24-M25</f>
        <v>#ERROR!</v>
      </c>
      <c r="N26" s="294"/>
      <c r="O26" s="29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>
        <v>2.0</v>
      </c>
      <c r="AT26" s="1"/>
      <c r="AU26" s="1"/>
      <c r="AV26" s="1"/>
      <c r="AW26" s="1"/>
      <c r="AX26" s="1"/>
      <c r="AY26" s="1"/>
    </row>
    <row r="27" ht="15.75" customHeight="1">
      <c r="A27" s="1"/>
      <c r="B27" s="658" t="s">
        <v>475</v>
      </c>
      <c r="C27" s="294"/>
      <c r="D27" s="294"/>
      <c r="E27" s="294"/>
      <c r="F27" s="294"/>
      <c r="G27" s="294"/>
      <c r="H27" s="294"/>
      <c r="I27" s="294"/>
      <c r="J27" s="294"/>
      <c r="K27" s="294"/>
      <c r="L27" s="295"/>
      <c r="M27" s="665">
        <f>N45</f>
        <v>37128</v>
      </c>
      <c r="N27" s="294"/>
      <c r="O27" s="29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str">
        <f>ROUND(IF(M23&lt;=400000,0,IF(M23&lt;=800000,(M23-400000)*0.05,IF(M23&lt;=1200000,20000+(M23-800000)*0.1,IF(M23&lt;=1600000,60000+(M23-1200000)*0.15,IF(M23&lt;=2000000,120000+(M23-1600000)*0.2,IF(M23&lt;=2400000,200000+(M23-2000000)*0.25,IF(M23&gt;2400000,300000+(M23-2400000)*0.3,"0"))))))),0)</f>
        <v>#ERROR!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</row>
    <row r="28" ht="15.75" customHeight="1">
      <c r="A28" s="1"/>
      <c r="B28" s="661" t="s">
        <v>476</v>
      </c>
      <c r="C28" s="294"/>
      <c r="D28" s="294"/>
      <c r="E28" s="294"/>
      <c r="F28" s="294"/>
      <c r="G28" s="294"/>
      <c r="H28" s="294"/>
      <c r="I28" s="294"/>
      <c r="J28" s="294"/>
      <c r="K28" s="294"/>
      <c r="L28" s="295"/>
      <c r="M28" s="666" t="str">
        <f>M26-M27</f>
        <v>#ERROR!</v>
      </c>
      <c r="N28" s="294"/>
      <c r="O28" s="29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</row>
    <row r="30" ht="15.75" customHeight="1">
      <c r="A30" s="1"/>
      <c r="B30" s="667" t="s">
        <v>477</v>
      </c>
      <c r="C30" s="294"/>
      <c r="D30" s="294"/>
      <c r="E30" s="294"/>
      <c r="F30" s="294"/>
      <c r="G30" s="294"/>
      <c r="H30" s="294"/>
      <c r="I30" s="294"/>
      <c r="J30" s="294"/>
      <c r="K30" s="294"/>
      <c r="L30" s="294"/>
      <c r="M30" s="294"/>
      <c r="N30" s="294"/>
      <c r="O30" s="29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>
        <f>IF($D33&gt;1000000,130000+($D33-1000000)*0.3,IF($D33&gt;500000,30000+($D33-500000)*0.2,IF($D33&gt;200000,($D33-200000)*0.1,0)))+ROUND(IF($D33&gt;1000000,130000+($D33-1000000)*0.3,IF($D33&gt;500000,30000+($D33-500000)*0.2,IF($D33&gt;200000,($D33-200000)*0.1,0)))*0.03,0)</f>
        <v>0</v>
      </c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</row>
    <row r="31" ht="93.75" customHeight="1">
      <c r="A31" s="668"/>
      <c r="B31" s="669" t="s">
        <v>478</v>
      </c>
      <c r="C31" s="295"/>
      <c r="D31" s="669" t="s">
        <v>479</v>
      </c>
      <c r="E31" s="295"/>
      <c r="F31" s="669" t="s">
        <v>480</v>
      </c>
      <c r="G31" s="295"/>
      <c r="H31" s="669" t="s">
        <v>481</v>
      </c>
      <c r="I31" s="295"/>
      <c r="J31" s="669" t="s">
        <v>482</v>
      </c>
      <c r="K31" s="295"/>
      <c r="L31" s="669" t="s">
        <v>483</v>
      </c>
      <c r="M31" s="295"/>
      <c r="N31" s="669" t="s">
        <v>484</v>
      </c>
      <c r="O31" s="295"/>
      <c r="P31" s="668"/>
      <c r="Q31" s="668"/>
      <c r="R31" s="668"/>
      <c r="S31" s="668"/>
      <c r="T31" s="668"/>
      <c r="U31" s="668"/>
      <c r="V31" s="668"/>
      <c r="W31" s="668"/>
      <c r="X31" s="668"/>
      <c r="Y31" s="668"/>
      <c r="Z31" s="668"/>
      <c r="AA31" s="668"/>
      <c r="AB31" s="668"/>
      <c r="AC31" s="668"/>
      <c r="AD31" s="668"/>
      <c r="AE31" s="668"/>
      <c r="AF31" s="668"/>
      <c r="AG31" s="668"/>
      <c r="AH31" s="668"/>
      <c r="AI31" s="668"/>
      <c r="AJ31" s="668"/>
      <c r="AK31" s="668"/>
      <c r="AL31" s="668"/>
      <c r="AM31" s="668"/>
      <c r="AN31" s="668"/>
      <c r="AO31" s="668"/>
      <c r="AP31" s="668"/>
      <c r="AQ31" s="668"/>
      <c r="AR31" s="668"/>
      <c r="AS31" s="668"/>
      <c r="AT31" s="668"/>
      <c r="AU31" s="668"/>
      <c r="AV31" s="668"/>
      <c r="AW31" s="668"/>
      <c r="AX31" s="668"/>
      <c r="AY31" s="668"/>
    </row>
    <row r="32" ht="15.75" customHeight="1">
      <c r="A32" s="1"/>
      <c r="B32" s="643">
        <v>1.0</v>
      </c>
      <c r="C32" s="295"/>
      <c r="D32" s="643">
        <v>2.0</v>
      </c>
      <c r="E32" s="295"/>
      <c r="F32" s="643">
        <v>3.0</v>
      </c>
      <c r="G32" s="295"/>
      <c r="H32" s="643">
        <v>4.0</v>
      </c>
      <c r="I32" s="295"/>
      <c r="J32" s="643">
        <v>5.0</v>
      </c>
      <c r="K32" s="295"/>
      <c r="L32" s="643">
        <v>6.0</v>
      </c>
      <c r="M32" s="295"/>
      <c r="N32" s="643">
        <v>7.0</v>
      </c>
      <c r="O32" s="29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23" t="s">
        <v>485</v>
      </c>
      <c r="AM32" s="23" t="s">
        <v>486</v>
      </c>
      <c r="AP32" s="23"/>
      <c r="AQ32" s="1"/>
      <c r="AR32" s="1"/>
      <c r="AS32" s="1"/>
      <c r="AT32" s="1"/>
      <c r="AU32" s="1"/>
      <c r="AV32" s="1"/>
      <c r="AW32" s="1"/>
      <c r="AX32" s="1"/>
      <c r="AY32" s="1"/>
    </row>
    <row r="33" ht="15.75" customHeight="1">
      <c r="A33" s="1"/>
      <c r="B33" s="647" t="s">
        <v>487</v>
      </c>
      <c r="C33" s="295"/>
      <c r="D33" s="670">
        <f>ROUND('89 (1) Form'!M8,-1)</f>
        <v>0</v>
      </c>
      <c r="E33" s="295"/>
      <c r="F33" s="670">
        <f>('89 (1) Form'!M9)</f>
        <v>0</v>
      </c>
      <c r="G33" s="295"/>
      <c r="H33" s="670">
        <f t="shared" ref="H33:H44" si="8">D33+F33</f>
        <v>0</v>
      </c>
      <c r="I33" s="295"/>
      <c r="J33" s="667">
        <f t="shared" ref="J33:J39" si="9">AL34</f>
        <v>0</v>
      </c>
      <c r="K33" s="295"/>
      <c r="L33" s="667">
        <f t="shared" ref="L33:L39" si="10">AU34</f>
        <v>0</v>
      </c>
      <c r="M33" s="295"/>
      <c r="N33" s="667">
        <f t="shared" ref="N33:N44" si="11">L33-J33</f>
        <v>0</v>
      </c>
      <c r="O33" s="29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45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ht="15.75" customHeight="1">
      <c r="A34" s="145"/>
      <c r="B34" s="647" t="s">
        <v>488</v>
      </c>
      <c r="C34" s="295"/>
      <c r="D34" s="670">
        <f>ROUND('89 (1) Form'!M11,-1)</f>
        <v>0</v>
      </c>
      <c r="E34" s="295"/>
      <c r="F34" s="670">
        <f>'89 (1) Form'!M12</f>
        <v>0</v>
      </c>
      <c r="G34" s="295"/>
      <c r="H34" s="670">
        <f t="shared" si="8"/>
        <v>0</v>
      </c>
      <c r="I34" s="295"/>
      <c r="J34" s="667">
        <f t="shared" si="9"/>
        <v>0</v>
      </c>
      <c r="K34" s="295"/>
      <c r="L34" s="667">
        <f t="shared" si="10"/>
        <v>0</v>
      </c>
      <c r="M34" s="295"/>
      <c r="N34" s="667">
        <f t="shared" si="11"/>
        <v>0</v>
      </c>
      <c r="O34" s="29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 t="s">
        <v>489</v>
      </c>
      <c r="AI34" s="145">
        <f>IF($D33&gt;1000000,130000+($D33-1000000)*0.3,IF($D33&gt;500000,30000+($D33-500000)*0.2,IF($D33&gt;200000,($D33-200000)*0.1,0)))</f>
        <v>0</v>
      </c>
      <c r="AJ34" s="145">
        <f t="shared" ref="AJ34:AJ35" si="12">IF(D33&lt;350001,AI34-MIN(AI34,2000),AI34)</f>
        <v>0</v>
      </c>
      <c r="AK34" s="145">
        <f t="shared" ref="AK34:AK38" si="13">ROUND(AJ34*0.03,0)</f>
        <v>0</v>
      </c>
      <c r="AL34" s="671">
        <f t="shared" ref="AL34:AL45" si="14">AJ34+AK34</f>
        <v>0</v>
      </c>
      <c r="AM34" s="145"/>
      <c r="AN34" s="145"/>
      <c r="AO34" s="145"/>
      <c r="AP34" s="145"/>
      <c r="AQ34" s="145"/>
      <c r="AR34" s="145">
        <f>IF($H33&gt;1000000,130000+($H33-1000000)*0.3,IF($H33&gt;500000,30000+($H33-500000)*0.2,IF($H33&gt;200000,($H33-200000)*0.1,0)))</f>
        <v>0</v>
      </c>
      <c r="AS34" s="145">
        <f t="shared" ref="AS34:AS36" si="15">IF(H33&lt;500001,AR34-MIN(AR34,2000),AR34)</f>
        <v>0</v>
      </c>
      <c r="AT34" s="145">
        <f t="shared" ref="AT34:AT38" si="16">ROUND(AS34*0.03,0)</f>
        <v>0</v>
      </c>
      <c r="AU34" s="671">
        <f t="shared" ref="AU34:AU45" si="17">AS34+AT34</f>
        <v>0</v>
      </c>
      <c r="AV34" s="145"/>
      <c r="AW34" s="145"/>
      <c r="AX34" s="145"/>
      <c r="AY34" s="145"/>
    </row>
    <row r="35" ht="15.75" customHeight="1">
      <c r="A35" s="145"/>
      <c r="B35" s="647" t="s">
        <v>490</v>
      </c>
      <c r="C35" s="295"/>
      <c r="D35" s="670">
        <f>ROUND('89 (1) Form'!M14,-1)</f>
        <v>0</v>
      </c>
      <c r="E35" s="295"/>
      <c r="F35" s="670">
        <f>'89 (1) Form'!M15</f>
        <v>0</v>
      </c>
      <c r="G35" s="295"/>
      <c r="H35" s="670">
        <f t="shared" si="8"/>
        <v>0</v>
      </c>
      <c r="I35" s="295"/>
      <c r="J35" s="667">
        <f t="shared" si="9"/>
        <v>0</v>
      </c>
      <c r="K35" s="295"/>
      <c r="L35" s="667">
        <f t="shared" si="10"/>
        <v>0</v>
      </c>
      <c r="M35" s="295"/>
      <c r="N35" s="667">
        <f t="shared" si="11"/>
        <v>0</v>
      </c>
      <c r="O35" s="29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 t="s">
        <v>491</v>
      </c>
      <c r="AI35" s="145">
        <f t="shared" ref="AI35:AI37" si="18">IF($D34&gt;1000000,125000+($D34-1000000)*0.3,IF($D34&gt;500000,25000+($D34-500000)*0.2,IF($D34&gt;250000,($D34-250000)*0.1,0)))</f>
        <v>0</v>
      </c>
      <c r="AJ35" s="145">
        <f t="shared" si="12"/>
        <v>0</v>
      </c>
      <c r="AK35" s="145">
        <f t="shared" si="13"/>
        <v>0</v>
      </c>
      <c r="AL35" s="671">
        <f t="shared" si="14"/>
        <v>0</v>
      </c>
      <c r="AM35" s="145"/>
      <c r="AN35" s="145"/>
      <c r="AO35" s="145"/>
      <c r="AP35" s="145"/>
      <c r="AQ35" s="145"/>
      <c r="AR35" s="145">
        <f t="shared" ref="AR35:AR37" si="19">IF(H34&gt;1000000,125000+(H34-1000000)*0.3,IF(H34&gt;500000,25000+(H34-500000)*0.2,IF(H34&gt;250000,(H34-250000)*0.1,0)))</f>
        <v>0</v>
      </c>
      <c r="AS35" s="145">
        <f t="shared" si="15"/>
        <v>0</v>
      </c>
      <c r="AT35" s="145">
        <f t="shared" si="16"/>
        <v>0</v>
      </c>
      <c r="AU35" s="671">
        <f t="shared" si="17"/>
        <v>0</v>
      </c>
      <c r="AV35" s="145"/>
      <c r="AW35" s="145"/>
      <c r="AX35" s="145"/>
      <c r="AY35" s="145"/>
    </row>
    <row r="36" ht="15.75" customHeight="1">
      <c r="A36" s="145"/>
      <c r="B36" s="647" t="s">
        <v>492</v>
      </c>
      <c r="C36" s="295"/>
      <c r="D36" s="670">
        <f>ROUND('89 (1) Form'!M17,-1)</f>
        <v>0</v>
      </c>
      <c r="E36" s="295"/>
      <c r="F36" s="670">
        <f>'89 (1) Form'!M18</f>
        <v>0</v>
      </c>
      <c r="G36" s="295"/>
      <c r="H36" s="670">
        <f t="shared" si="8"/>
        <v>0</v>
      </c>
      <c r="I36" s="295"/>
      <c r="J36" s="667">
        <f t="shared" si="9"/>
        <v>0</v>
      </c>
      <c r="K36" s="295"/>
      <c r="L36" s="667">
        <f t="shared" si="10"/>
        <v>0</v>
      </c>
      <c r="M36" s="295"/>
      <c r="N36" s="667">
        <f t="shared" si="11"/>
        <v>0</v>
      </c>
      <c r="O36" s="29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"/>
      <c r="AB36" s="1"/>
      <c r="AC36" s="1"/>
      <c r="AD36" s="1"/>
      <c r="AE36" s="145"/>
      <c r="AF36" s="145"/>
      <c r="AG36" s="145"/>
      <c r="AH36" s="145" t="s">
        <v>493</v>
      </c>
      <c r="AI36" s="145">
        <f t="shared" si="18"/>
        <v>0</v>
      </c>
      <c r="AJ36" s="145">
        <f>IF(D35&lt;500001,AI36-MIN(AI36,2000),AI36)</f>
        <v>0</v>
      </c>
      <c r="AK36" s="145">
        <f t="shared" si="13"/>
        <v>0</v>
      </c>
      <c r="AL36" s="671">
        <f t="shared" si="14"/>
        <v>0</v>
      </c>
      <c r="AM36" s="145"/>
      <c r="AN36" s="145"/>
      <c r="AO36" s="145"/>
      <c r="AP36" s="145"/>
      <c r="AQ36" s="145"/>
      <c r="AR36" s="145">
        <f t="shared" si="19"/>
        <v>0</v>
      </c>
      <c r="AS36" s="145">
        <f t="shared" si="15"/>
        <v>0</v>
      </c>
      <c r="AT36" s="145">
        <f t="shared" si="16"/>
        <v>0</v>
      </c>
      <c r="AU36" s="671">
        <f t="shared" si="17"/>
        <v>0</v>
      </c>
      <c r="AV36" s="145"/>
      <c r="AW36" s="145"/>
      <c r="AX36" s="145"/>
      <c r="AY36" s="145"/>
    </row>
    <row r="37" ht="15.75" customHeight="1">
      <c r="A37" s="145"/>
      <c r="B37" s="647" t="s">
        <v>494</v>
      </c>
      <c r="C37" s="295"/>
      <c r="D37" s="670">
        <f>ROUND('89 (1) Form'!M20,-1)</f>
        <v>0</v>
      </c>
      <c r="E37" s="295"/>
      <c r="F37" s="670">
        <f>'89 (1) Form'!M21</f>
        <v>0</v>
      </c>
      <c r="G37" s="295"/>
      <c r="H37" s="670">
        <f t="shared" si="8"/>
        <v>0</v>
      </c>
      <c r="I37" s="295"/>
      <c r="J37" s="667">
        <f t="shared" si="9"/>
        <v>0</v>
      </c>
      <c r="K37" s="295"/>
      <c r="L37" s="667">
        <f t="shared" si="10"/>
        <v>0</v>
      </c>
      <c r="M37" s="295"/>
      <c r="N37" s="667">
        <f t="shared" si="11"/>
        <v>0</v>
      </c>
      <c r="O37" s="29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"/>
      <c r="AB37" s="1"/>
      <c r="AC37" s="1"/>
      <c r="AD37" s="1"/>
      <c r="AE37" s="145"/>
      <c r="AF37" s="145"/>
      <c r="AG37" s="145"/>
      <c r="AH37" s="145" t="s">
        <v>495</v>
      </c>
      <c r="AI37" s="145">
        <f t="shared" si="18"/>
        <v>0</v>
      </c>
      <c r="AJ37" s="145">
        <f>IF(D36&lt;500001,AI37-MIN(AI37,5000),AI37)</f>
        <v>0</v>
      </c>
      <c r="AK37" s="145">
        <f t="shared" si="13"/>
        <v>0</v>
      </c>
      <c r="AL37" s="671">
        <f t="shared" si="14"/>
        <v>0</v>
      </c>
      <c r="AM37" s="145"/>
      <c r="AN37" s="145"/>
      <c r="AO37" s="145"/>
      <c r="AP37" s="145"/>
      <c r="AQ37" s="145"/>
      <c r="AR37" s="145">
        <f t="shared" si="19"/>
        <v>0</v>
      </c>
      <c r="AS37" s="145">
        <f>IF(H36&lt;500001,AR37-MIN(AR37,5000),AR37)</f>
        <v>0</v>
      </c>
      <c r="AT37" s="145">
        <f t="shared" si="16"/>
        <v>0</v>
      </c>
      <c r="AU37" s="671">
        <f t="shared" si="17"/>
        <v>0</v>
      </c>
      <c r="AV37" s="145"/>
      <c r="AW37" s="145"/>
      <c r="AX37" s="145"/>
      <c r="AY37" s="145"/>
    </row>
    <row r="38" ht="15.75" customHeight="1">
      <c r="A38" s="145"/>
      <c r="B38" s="647" t="s">
        <v>496</v>
      </c>
      <c r="C38" s="295"/>
      <c r="D38" s="670">
        <f>ROUND('89 (1) Form'!M23,-1)</f>
        <v>0</v>
      </c>
      <c r="E38" s="295"/>
      <c r="F38" s="670">
        <f>'89 (1) Form'!M24</f>
        <v>0</v>
      </c>
      <c r="G38" s="295"/>
      <c r="H38" s="670">
        <f t="shared" si="8"/>
        <v>0</v>
      </c>
      <c r="I38" s="295"/>
      <c r="J38" s="667">
        <f t="shared" si="9"/>
        <v>0</v>
      </c>
      <c r="K38" s="295"/>
      <c r="L38" s="667">
        <f t="shared" si="10"/>
        <v>0</v>
      </c>
      <c r="M38" s="295"/>
      <c r="N38" s="667">
        <f t="shared" si="11"/>
        <v>0</v>
      </c>
      <c r="O38" s="29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"/>
      <c r="AB38" s="1"/>
      <c r="AC38" s="1"/>
      <c r="AD38" s="1"/>
      <c r="AE38" s="145"/>
      <c r="AF38" s="145"/>
      <c r="AG38" s="145"/>
      <c r="AH38" s="145" t="s">
        <v>497</v>
      </c>
      <c r="AI38" s="145">
        <f t="shared" ref="AI38:AI43" si="20">IF($D37&gt;1000000,112500+($D37-1000000)*0.3,IF($D37&gt;500000,12500+($D37-500000)*0.2,IF($D37&gt;250000,($D37-250000)*0.05,0)))</f>
        <v>0</v>
      </c>
      <c r="AJ38" s="145">
        <f t="shared" ref="AJ38:AJ39" si="21">IF(D37&lt;350001,AI38-MIN(AI38,2500),AI38)</f>
        <v>0</v>
      </c>
      <c r="AK38" s="145">
        <f t="shared" si="13"/>
        <v>0</v>
      </c>
      <c r="AL38" s="671">
        <f t="shared" si="14"/>
        <v>0</v>
      </c>
      <c r="AM38" s="145"/>
      <c r="AN38" s="145"/>
      <c r="AO38" s="145"/>
      <c r="AP38" s="145"/>
      <c r="AQ38" s="145"/>
      <c r="AR38" s="145">
        <f t="shared" ref="AR38:AR45" si="22">IF(H37&gt;1000000,112500+(H37-1000000)*0.3,IF(H37&gt;500000,12500+(H37-500000)*0.2,IF(H37&gt;250000,(H37-250000)*0.05,0)))</f>
        <v>0</v>
      </c>
      <c r="AS38" s="145">
        <f t="shared" ref="AS38:AS39" si="23">IF(H37&lt;350001,AR38-MIN(AR38,2500),AR38)</f>
        <v>0</v>
      </c>
      <c r="AT38" s="145">
        <f t="shared" si="16"/>
        <v>0</v>
      </c>
      <c r="AU38" s="671">
        <f t="shared" si="17"/>
        <v>0</v>
      </c>
      <c r="AV38" s="145"/>
      <c r="AW38" s="145"/>
      <c r="AX38" s="145"/>
      <c r="AY38" s="145"/>
    </row>
    <row r="39" ht="15.75" customHeight="1">
      <c r="A39" s="145"/>
      <c r="B39" s="647" t="s">
        <v>498</v>
      </c>
      <c r="C39" s="295"/>
      <c r="D39" s="670">
        <f>ROUND('89 (1) Form'!M26,-1)</f>
        <v>0</v>
      </c>
      <c r="E39" s="295"/>
      <c r="F39" s="670">
        <f>'89 (1) Form'!M27</f>
        <v>0</v>
      </c>
      <c r="G39" s="295"/>
      <c r="H39" s="670">
        <f t="shared" si="8"/>
        <v>0</v>
      </c>
      <c r="I39" s="295"/>
      <c r="J39" s="667">
        <f t="shared" si="9"/>
        <v>0</v>
      </c>
      <c r="K39" s="295"/>
      <c r="L39" s="667">
        <f t="shared" si="10"/>
        <v>0</v>
      </c>
      <c r="M39" s="295"/>
      <c r="N39" s="667">
        <f t="shared" si="11"/>
        <v>0</v>
      </c>
      <c r="O39" s="29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"/>
      <c r="AB39" s="1"/>
      <c r="AC39" s="1"/>
      <c r="AD39" s="1"/>
      <c r="AE39" s="145"/>
      <c r="AF39" s="145"/>
      <c r="AG39" s="145"/>
      <c r="AH39" s="145" t="s">
        <v>499</v>
      </c>
      <c r="AI39" s="145">
        <f t="shared" si="20"/>
        <v>0</v>
      </c>
      <c r="AJ39" s="145">
        <f t="shared" si="21"/>
        <v>0</v>
      </c>
      <c r="AK39" s="145">
        <f t="shared" ref="AK39:AK45" si="24">ROUND(AJ39*0.04,0)</f>
        <v>0</v>
      </c>
      <c r="AL39" s="671">
        <f t="shared" si="14"/>
        <v>0</v>
      </c>
      <c r="AM39" s="145"/>
      <c r="AN39" s="145"/>
      <c r="AO39" s="145"/>
      <c r="AP39" s="145"/>
      <c r="AQ39" s="145"/>
      <c r="AR39" s="145">
        <f t="shared" si="22"/>
        <v>0</v>
      </c>
      <c r="AS39" s="145">
        <f t="shared" si="23"/>
        <v>0</v>
      </c>
      <c r="AT39" s="145">
        <f t="shared" ref="AT39:AT45" si="25">ROUND(AS39*0.04,0)</f>
        <v>0</v>
      </c>
      <c r="AU39" s="671">
        <f t="shared" si="17"/>
        <v>0</v>
      </c>
      <c r="AV39" s="145"/>
      <c r="AW39" s="145"/>
      <c r="AX39" s="145"/>
      <c r="AY39" s="145"/>
    </row>
    <row r="40" ht="15.75" customHeight="1">
      <c r="A40" s="145"/>
      <c r="B40" s="647" t="s">
        <v>500</v>
      </c>
      <c r="C40" s="295"/>
      <c r="D40" s="670">
        <f>ROUND('89 (1) Form'!M29,-1)</f>
        <v>450000</v>
      </c>
      <c r="E40" s="295"/>
      <c r="F40" s="670">
        <f>'89 (1) Form'!M30</f>
        <v>27000</v>
      </c>
      <c r="G40" s="295"/>
      <c r="H40" s="670">
        <f t="shared" si="8"/>
        <v>477000</v>
      </c>
      <c r="I40" s="295"/>
      <c r="J40" s="667">
        <f t="shared" ref="J40:J44" si="26">IF(AS22=1,AL41,AP41)</f>
        <v>0</v>
      </c>
      <c r="K40" s="295"/>
      <c r="L40" s="667">
        <f t="shared" ref="L40:L44" si="27">IF(AS22=1,AU41,AY41)</f>
        <v>0</v>
      </c>
      <c r="M40" s="295"/>
      <c r="N40" s="667">
        <f t="shared" si="11"/>
        <v>0</v>
      </c>
      <c r="O40" s="29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"/>
      <c r="AB40" s="1"/>
      <c r="AC40" s="1"/>
      <c r="AD40" s="1"/>
      <c r="AE40" s="145"/>
      <c r="AF40" s="145"/>
      <c r="AG40" s="145"/>
      <c r="AH40" s="145" t="s">
        <v>501</v>
      </c>
      <c r="AI40" s="145">
        <f t="shared" si="20"/>
        <v>0</v>
      </c>
      <c r="AJ40" s="145">
        <f t="shared" ref="AJ40:AJ45" si="28">IF(D39&lt;500001,AI40-MIN(AI40,12500),AI40)</f>
        <v>0</v>
      </c>
      <c r="AK40" s="145">
        <f t="shared" si="24"/>
        <v>0</v>
      </c>
      <c r="AL40" s="671">
        <f t="shared" si="14"/>
        <v>0</v>
      </c>
      <c r="AM40" s="145"/>
      <c r="AN40" s="145"/>
      <c r="AO40" s="145"/>
      <c r="AP40" s="145"/>
      <c r="AQ40" s="145"/>
      <c r="AR40" s="145">
        <f t="shared" si="22"/>
        <v>0</v>
      </c>
      <c r="AS40" s="145">
        <f t="shared" ref="AS40:AS45" si="29">IF(H39&lt;500001,AR40-MIN(AR40,12500),AR40)</f>
        <v>0</v>
      </c>
      <c r="AT40" s="145">
        <f t="shared" si="25"/>
        <v>0</v>
      </c>
      <c r="AU40" s="671">
        <f t="shared" si="17"/>
        <v>0</v>
      </c>
      <c r="AV40" s="145"/>
      <c r="AW40" s="145"/>
      <c r="AX40" s="145"/>
      <c r="AY40" s="145"/>
    </row>
    <row r="41" ht="15.75" customHeight="1">
      <c r="A41" s="145"/>
      <c r="B41" s="647" t="s">
        <v>502</v>
      </c>
      <c r="C41" s="295"/>
      <c r="D41" s="670">
        <f>ROUND('89 (1) Form'!M32,-1)</f>
        <v>550000</v>
      </c>
      <c r="E41" s="295"/>
      <c r="F41" s="670">
        <f>'89 (1) Form'!M33</f>
        <v>25000</v>
      </c>
      <c r="G41" s="295"/>
      <c r="H41" s="670">
        <f t="shared" si="8"/>
        <v>575000</v>
      </c>
      <c r="I41" s="295"/>
      <c r="J41" s="667">
        <f t="shared" si="26"/>
        <v>23400</v>
      </c>
      <c r="K41" s="295"/>
      <c r="L41" s="667">
        <f t="shared" si="27"/>
        <v>28600</v>
      </c>
      <c r="M41" s="295"/>
      <c r="N41" s="667">
        <f t="shared" si="11"/>
        <v>5200</v>
      </c>
      <c r="O41" s="29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"/>
      <c r="AB41" s="1"/>
      <c r="AC41" s="1"/>
      <c r="AD41" s="1"/>
      <c r="AE41" s="145"/>
      <c r="AF41" s="145"/>
      <c r="AG41" s="145"/>
      <c r="AH41" s="145" t="s">
        <v>503</v>
      </c>
      <c r="AI41" s="145">
        <f t="shared" si="20"/>
        <v>10000</v>
      </c>
      <c r="AJ41" s="145">
        <f t="shared" si="28"/>
        <v>0</v>
      </c>
      <c r="AK41" s="145">
        <f t="shared" si="24"/>
        <v>0</v>
      </c>
      <c r="AL41" s="671">
        <f t="shared" si="14"/>
        <v>0</v>
      </c>
      <c r="AM41" s="145">
        <f t="shared" ref="AM41:AM43" si="30">ROUND(IF(D40&lt;=250000,0,IF(D40&lt;=500000,(D40-250000)*0.05,IF(D40&lt;=750000,12500+(D40-500000)*0.1,IF(D40&lt;=1000000,37500+(D40-750000)*0.15,IF(D40&lt;=1250000,75000+(D40-1000000)*0.2,IF(D40&lt;=1500000,125000+(D40-1250000)*0.25,IF(D40&gt;1500000,187500+(D40-1500000)*0.3,"0"))))))),0)</f>
        <v>10000</v>
      </c>
      <c r="AN41" s="145">
        <f t="shared" ref="AN41:AN43" si="31">IF(AND(D40&lt;=500000,AM41&gt;=12500),AM41-12500,IF(AND(D40&lt;=500000,AM41&lt;12500),0,AM41))</f>
        <v>0</v>
      </c>
      <c r="AO41" s="145">
        <f t="shared" ref="AO41:AO43" si="32">IF(D40&lt;=500000,AN41,AM41)</f>
        <v>0</v>
      </c>
      <c r="AP41" s="672">
        <f t="shared" ref="AP41:AP45" si="33">SUM(AO41+(ROUND(AO41*0.04,0)))</f>
        <v>0</v>
      </c>
      <c r="AQ41" s="145"/>
      <c r="AR41" s="145">
        <f t="shared" si="22"/>
        <v>11350</v>
      </c>
      <c r="AS41" s="145">
        <f t="shared" si="29"/>
        <v>0</v>
      </c>
      <c r="AT41" s="145">
        <f t="shared" si="25"/>
        <v>0</v>
      </c>
      <c r="AU41" s="671">
        <f t="shared" si="17"/>
        <v>0</v>
      </c>
      <c r="AV41" s="145">
        <f t="shared" ref="AV41:AV43" si="34">ROUND(IF(H40&lt;=250000,0,IF(H40&lt;=500000,(H40-250000)*0.05,IF(H40&lt;=750000,12500+(H40-500000)*0.1,IF(H40&lt;=1000000,37500+(H40-750000)*0.15,IF(H40&lt;=1250000,75000+(H40-1000000)*0.2,IF(H40&lt;=1500000,125000+(H40-1250000)*0.25,IF(H40&gt;1500000,187500+(H40-1500000)*0.3,"0"))))))),0)</f>
        <v>11350</v>
      </c>
      <c r="AW41" s="145">
        <f t="shared" ref="AW41:AW43" si="35">IF(AND(H40&lt;=500000,AV41&gt;=12500),AV41-12500,IF(AND(H40&lt;=500000,AV41&lt;12500),0,AV41))</f>
        <v>0</v>
      </c>
      <c r="AX41" s="145">
        <f t="shared" ref="AX41:AX43" si="36">IF(H40&lt;=500000,AW41,AV41)</f>
        <v>0</v>
      </c>
      <c r="AY41" s="672">
        <f t="shared" ref="AY41:AY45" si="37">SUM(AX41+(ROUND(AX41*0.04,0)))</f>
        <v>0</v>
      </c>
    </row>
    <row r="42" ht="15.75" customHeight="1">
      <c r="A42" s="145"/>
      <c r="B42" s="647" t="s">
        <v>504</v>
      </c>
      <c r="C42" s="295"/>
      <c r="D42" s="670">
        <f>ROUND('89 (1) Form'!M35,-1)</f>
        <v>735360</v>
      </c>
      <c r="E42" s="295"/>
      <c r="F42" s="670">
        <f>'89 (1) Form'!M36</f>
        <v>47000</v>
      </c>
      <c r="G42" s="295"/>
      <c r="H42" s="670">
        <f t="shared" si="8"/>
        <v>782360</v>
      </c>
      <c r="I42" s="295"/>
      <c r="J42" s="667">
        <f t="shared" si="26"/>
        <v>61955</v>
      </c>
      <c r="K42" s="295"/>
      <c r="L42" s="667">
        <f t="shared" si="27"/>
        <v>71731</v>
      </c>
      <c r="M42" s="295"/>
      <c r="N42" s="667">
        <f t="shared" si="11"/>
        <v>9776</v>
      </c>
      <c r="O42" s="29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"/>
      <c r="AB42" s="1"/>
      <c r="AC42" s="1"/>
      <c r="AD42" s="1"/>
      <c r="AE42" s="145"/>
      <c r="AF42" s="145"/>
      <c r="AG42" s="145"/>
      <c r="AH42" s="145" t="s">
        <v>505</v>
      </c>
      <c r="AI42" s="145">
        <f t="shared" si="20"/>
        <v>22500</v>
      </c>
      <c r="AJ42" s="145">
        <f t="shared" si="28"/>
        <v>22500</v>
      </c>
      <c r="AK42" s="145">
        <f t="shared" si="24"/>
        <v>900</v>
      </c>
      <c r="AL42" s="671">
        <f t="shared" si="14"/>
        <v>23400</v>
      </c>
      <c r="AM42" s="145">
        <f t="shared" si="30"/>
        <v>17500</v>
      </c>
      <c r="AN42" s="145">
        <f t="shared" si="31"/>
        <v>17500</v>
      </c>
      <c r="AO42" s="145">
        <f t="shared" si="32"/>
        <v>17500</v>
      </c>
      <c r="AP42" s="672">
        <f t="shared" si="33"/>
        <v>18200</v>
      </c>
      <c r="AQ42" s="145"/>
      <c r="AR42" s="145">
        <f t="shared" si="22"/>
        <v>27500</v>
      </c>
      <c r="AS42" s="145">
        <f t="shared" si="29"/>
        <v>27500</v>
      </c>
      <c r="AT42" s="145">
        <f t="shared" si="25"/>
        <v>1100</v>
      </c>
      <c r="AU42" s="671">
        <f t="shared" si="17"/>
        <v>28600</v>
      </c>
      <c r="AV42" s="145">
        <f t="shared" si="34"/>
        <v>20000</v>
      </c>
      <c r="AW42" s="145">
        <f t="shared" si="35"/>
        <v>20000</v>
      </c>
      <c r="AX42" s="145">
        <f t="shared" si="36"/>
        <v>20000</v>
      </c>
      <c r="AY42" s="672">
        <f t="shared" si="37"/>
        <v>20800</v>
      </c>
    </row>
    <row r="43" ht="15.75" customHeight="1">
      <c r="A43" s="145"/>
      <c r="B43" s="647" t="s">
        <v>506</v>
      </c>
      <c r="C43" s="295"/>
      <c r="D43" s="670">
        <f>ROUND('89 (1) Form'!M38,-1)</f>
        <v>1015360</v>
      </c>
      <c r="E43" s="295"/>
      <c r="F43" s="670">
        <f>'89 (1) Form'!M39</f>
        <v>84000</v>
      </c>
      <c r="G43" s="295"/>
      <c r="H43" s="670">
        <f t="shared" si="8"/>
        <v>1099360</v>
      </c>
      <c r="I43" s="295"/>
      <c r="J43" s="667">
        <f t="shared" si="26"/>
        <v>64796</v>
      </c>
      <c r="K43" s="295"/>
      <c r="L43" s="667">
        <f t="shared" si="27"/>
        <v>77900</v>
      </c>
      <c r="M43" s="295"/>
      <c r="N43" s="667">
        <f t="shared" si="11"/>
        <v>13104</v>
      </c>
      <c r="O43" s="29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"/>
      <c r="AB43" s="1"/>
      <c r="AC43" s="1"/>
      <c r="AD43" s="1"/>
      <c r="AE43" s="145"/>
      <c r="AF43" s="145"/>
      <c r="AG43" s="145"/>
      <c r="AH43" s="145" t="s">
        <v>507</v>
      </c>
      <c r="AI43" s="145">
        <f t="shared" si="20"/>
        <v>59572</v>
      </c>
      <c r="AJ43" s="145">
        <f t="shared" si="28"/>
        <v>59572</v>
      </c>
      <c r="AK43" s="145">
        <f t="shared" si="24"/>
        <v>2383</v>
      </c>
      <c r="AL43" s="671">
        <f t="shared" si="14"/>
        <v>61955</v>
      </c>
      <c r="AM43" s="145">
        <f t="shared" si="30"/>
        <v>36036</v>
      </c>
      <c r="AN43" s="145">
        <f t="shared" si="31"/>
        <v>36036</v>
      </c>
      <c r="AO43" s="145">
        <f t="shared" si="32"/>
        <v>36036</v>
      </c>
      <c r="AP43" s="672">
        <f t="shared" si="33"/>
        <v>37477</v>
      </c>
      <c r="AQ43" s="145"/>
      <c r="AR43" s="145">
        <f t="shared" si="22"/>
        <v>68972</v>
      </c>
      <c r="AS43" s="145">
        <f t="shared" si="29"/>
        <v>68972</v>
      </c>
      <c r="AT43" s="145">
        <f t="shared" si="25"/>
        <v>2759</v>
      </c>
      <c r="AU43" s="671">
        <f t="shared" si="17"/>
        <v>71731</v>
      </c>
      <c r="AV43" s="145">
        <f t="shared" si="34"/>
        <v>42354</v>
      </c>
      <c r="AW43" s="145">
        <f t="shared" si="35"/>
        <v>42354</v>
      </c>
      <c r="AX43" s="145">
        <f t="shared" si="36"/>
        <v>42354</v>
      </c>
      <c r="AY43" s="672">
        <f t="shared" si="37"/>
        <v>44048</v>
      </c>
    </row>
    <row r="44" ht="15.75" customHeight="1">
      <c r="A44" s="145"/>
      <c r="B44" s="647" t="s">
        <v>508</v>
      </c>
      <c r="C44" s="295"/>
      <c r="D44" s="670">
        <f>ROUND('89 (1) Form'!M41,-1)</f>
        <v>1099730</v>
      </c>
      <c r="E44" s="295"/>
      <c r="F44" s="670">
        <f>'89 (1) Form'!M42</f>
        <v>58000</v>
      </c>
      <c r="G44" s="295"/>
      <c r="H44" s="670">
        <f t="shared" si="8"/>
        <v>1157730</v>
      </c>
      <c r="I44" s="295"/>
      <c r="J44" s="667">
        <f t="shared" si="26"/>
        <v>67558</v>
      </c>
      <c r="K44" s="295"/>
      <c r="L44" s="667">
        <f t="shared" si="27"/>
        <v>76606</v>
      </c>
      <c r="M44" s="295"/>
      <c r="N44" s="667">
        <f t="shared" si="11"/>
        <v>9048</v>
      </c>
      <c r="O44" s="295"/>
      <c r="P44" s="145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"/>
      <c r="AB44" s="1"/>
      <c r="AC44" s="1"/>
      <c r="AD44" s="1"/>
      <c r="AE44" s="145"/>
      <c r="AF44" s="145"/>
      <c r="AG44" s="145"/>
      <c r="AH44" s="145" t="s">
        <v>509</v>
      </c>
      <c r="AI44" s="145">
        <f t="shared" ref="AI44:AI45" si="38">ROUND(IF(D43&lt;=250000,0,IF(D43&lt;=500000,(D43-250000)*0.05,IF(D43&lt;=1000000,12500+(D43-500000)*0.2,IF(D43&gt;1000000,112500+(D43-1000000)*0.3,"0")))),0)</f>
        <v>117108</v>
      </c>
      <c r="AJ44" s="145">
        <f t="shared" si="28"/>
        <v>117108</v>
      </c>
      <c r="AK44" s="145">
        <f t="shared" si="24"/>
        <v>4684</v>
      </c>
      <c r="AL44" s="671">
        <f t="shared" si="14"/>
        <v>121792</v>
      </c>
      <c r="AM44" s="145">
        <f>ROUND(IF(D43&lt;=300000,0,IF(D43&lt;=600000,(D43-300000)*0.05,IF(D43&lt;=900000,15000+(D43-600000)*0.1,IF(D43&lt;=1200000,45000+(D43-900000)*0.15,IF(D43&lt;=1500000,90000+(D43-1200000)*0.2,IF(D43&gt;1500000,150000+(D43-1200000)*0.3,"0")))))),0)</f>
        <v>62304</v>
      </c>
      <c r="AN44" s="145">
        <f t="shared" ref="AN44:AN45" si="39">IF(AND(D43&lt;=700000,AM44&gt;=25000),AM44-25000,IF(AND(D43&lt;=700000,AM44&lt;25000),0,AM44))</f>
        <v>62304</v>
      </c>
      <c r="AO44" s="145">
        <f t="shared" ref="AO44:AO45" si="40">IF(D43&lt;=700000,AN44,AM44)</f>
        <v>62304</v>
      </c>
      <c r="AP44" s="672">
        <f t="shared" si="33"/>
        <v>64796</v>
      </c>
      <c r="AQ44" s="145"/>
      <c r="AR44" s="145">
        <f t="shared" si="22"/>
        <v>142308</v>
      </c>
      <c r="AS44" s="145">
        <f t="shared" si="29"/>
        <v>142308</v>
      </c>
      <c r="AT44" s="145">
        <f t="shared" si="25"/>
        <v>5692</v>
      </c>
      <c r="AU44" s="671">
        <f t="shared" si="17"/>
        <v>148000</v>
      </c>
      <c r="AV44" s="145">
        <f>ROUND(IF(H43&lt;=300000,0,IF(H43&lt;=600000,(H43-300000)*0.05,IF(H43&lt;=900000,15000+(H43-600000)*0.1,IF(H43&lt;=1200000,45000+(H43-900000)*0.15,IF(H43&lt;=1500000,90000+(H43-1200000)*0.2,IF(H43&gt;1500000,150000+(H43-1200000)*0.3,"0")))))),0)</f>
        <v>74904</v>
      </c>
      <c r="AW44" s="145">
        <f t="shared" ref="AW44:AW45" si="41">IF(AND(H43&lt;=700000,AV44&gt;=25000),AV44-25000,IF(AND(H43&lt;=700000,AV44&lt;25000),0,AV44))</f>
        <v>74904</v>
      </c>
      <c r="AX44" s="145">
        <f t="shared" ref="AX44:AX45" si="42">IF(H43&lt;=700000,AW44,AV44)</f>
        <v>74904</v>
      </c>
      <c r="AY44" s="672">
        <f t="shared" si="37"/>
        <v>77900</v>
      </c>
    </row>
    <row r="45" ht="15.75" customHeight="1">
      <c r="A45" s="1"/>
      <c r="B45" s="664" t="s">
        <v>40</v>
      </c>
      <c r="C45" s="295"/>
      <c r="D45" s="673"/>
      <c r="E45" s="295"/>
      <c r="F45" s="673"/>
      <c r="G45" s="295"/>
      <c r="H45" s="673"/>
      <c r="I45" s="295"/>
      <c r="J45" s="673"/>
      <c r="K45" s="295"/>
      <c r="L45" s="673"/>
      <c r="M45" s="295"/>
      <c r="N45" s="674">
        <f>SUM(N33:O44)</f>
        <v>37128</v>
      </c>
      <c r="O45" s="29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45" t="s">
        <v>510</v>
      </c>
      <c r="AI45" s="145">
        <f t="shared" si="38"/>
        <v>142419</v>
      </c>
      <c r="AJ45" s="145">
        <f t="shared" si="28"/>
        <v>142419</v>
      </c>
      <c r="AK45" s="145">
        <f t="shared" si="24"/>
        <v>5697</v>
      </c>
      <c r="AL45" s="671">
        <f t="shared" si="14"/>
        <v>148116</v>
      </c>
      <c r="AM45" s="145">
        <f>ROUND(IF(D44&lt;=300000,0,IF(D44&lt;=700000,(D44-300000)*0.05,IF(D44&lt;=1000000,20000+(D44-700000)*0.1,IF(D44&lt;=1200000,50000+(D44-1000000)*0.15,IF(D44&lt;=1500000,80000+(D44-1200000)*0.2,IF(D44&gt;1500000,140000+(D44-1200000)*0.3,"0")))))),0)</f>
        <v>64960</v>
      </c>
      <c r="AN45" s="145">
        <f t="shared" si="39"/>
        <v>64960</v>
      </c>
      <c r="AO45" s="145">
        <f t="shared" si="40"/>
        <v>64960</v>
      </c>
      <c r="AP45" s="672">
        <f t="shared" si="33"/>
        <v>67558</v>
      </c>
      <c r="AQ45" s="1"/>
      <c r="AR45" s="145">
        <f t="shared" si="22"/>
        <v>159819</v>
      </c>
      <c r="AS45" s="145">
        <f t="shared" si="29"/>
        <v>159819</v>
      </c>
      <c r="AT45" s="145">
        <f t="shared" si="25"/>
        <v>6393</v>
      </c>
      <c r="AU45" s="671">
        <f t="shared" si="17"/>
        <v>166212</v>
      </c>
      <c r="AV45" s="145">
        <f>ROUND(IF(H44&lt;=300000,0,IF(H44&lt;=700000,(H44-300000)*0.05,IF(H44&lt;=1000000,20000+(H44-700000)*0.1,IF(H44&lt;=1200000,50000+(H44-1000000)*0.15,IF(H44&lt;=1500000,80000+(H44-1200000)*0.2,IF(H44&gt;1500000,140000+(H44-1200000)*0.3,"0")))))),0)</f>
        <v>73660</v>
      </c>
      <c r="AW45" s="145">
        <f t="shared" si="41"/>
        <v>73660</v>
      </c>
      <c r="AX45" s="145">
        <f t="shared" si="42"/>
        <v>73660</v>
      </c>
      <c r="AY45" s="672">
        <f t="shared" si="37"/>
        <v>76606</v>
      </c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7">
    <mergeCell ref="D5:H5"/>
    <mergeCell ref="I5:J5"/>
    <mergeCell ref="B1:O1"/>
    <mergeCell ref="B2:O2"/>
    <mergeCell ref="B3:C3"/>
    <mergeCell ref="D3:O3"/>
    <mergeCell ref="B4:C4"/>
    <mergeCell ref="D4:O4"/>
    <mergeCell ref="B5:C5"/>
    <mergeCell ref="K5:O5"/>
    <mergeCell ref="B6:O6"/>
    <mergeCell ref="B7:L7"/>
    <mergeCell ref="M7:O7"/>
    <mergeCell ref="B8:L8"/>
    <mergeCell ref="M8:O8"/>
    <mergeCell ref="M9:O9"/>
    <mergeCell ref="B9:L9"/>
    <mergeCell ref="B10:L10"/>
    <mergeCell ref="M10:O10"/>
    <mergeCell ref="B11:L11"/>
    <mergeCell ref="M11:O11"/>
    <mergeCell ref="B12:O12"/>
    <mergeCell ref="G13:O13"/>
    <mergeCell ref="C13:F13"/>
    <mergeCell ref="B14:E14"/>
    <mergeCell ref="B15:D15"/>
    <mergeCell ref="E15:F15"/>
    <mergeCell ref="C16:D16"/>
    <mergeCell ref="C17:D17"/>
    <mergeCell ref="L17:O17"/>
    <mergeCell ref="B23:L23"/>
    <mergeCell ref="M23:O23"/>
    <mergeCell ref="B19:O19"/>
    <mergeCell ref="F20:K20"/>
    <mergeCell ref="B21:L21"/>
    <mergeCell ref="M21:O21"/>
    <mergeCell ref="B22:L22"/>
    <mergeCell ref="M22:O22"/>
    <mergeCell ref="Q22:S24"/>
    <mergeCell ref="B24:L24"/>
    <mergeCell ref="M24:O24"/>
    <mergeCell ref="B25:L25"/>
    <mergeCell ref="M25:O25"/>
    <mergeCell ref="B26:L26"/>
    <mergeCell ref="M26:O26"/>
    <mergeCell ref="M27:O27"/>
    <mergeCell ref="H31:I31"/>
    <mergeCell ref="J31:K31"/>
    <mergeCell ref="L31:M31"/>
    <mergeCell ref="N31:O31"/>
    <mergeCell ref="B27:L27"/>
    <mergeCell ref="B28:L28"/>
    <mergeCell ref="M28:O28"/>
    <mergeCell ref="B30:O30"/>
    <mergeCell ref="B31:C31"/>
    <mergeCell ref="D31:E31"/>
    <mergeCell ref="F31:G31"/>
    <mergeCell ref="AJ32:AL32"/>
    <mergeCell ref="AM32:AO32"/>
    <mergeCell ref="B32:C32"/>
    <mergeCell ref="D32:E32"/>
    <mergeCell ref="F32:G32"/>
    <mergeCell ref="H32:I32"/>
    <mergeCell ref="J32:K32"/>
    <mergeCell ref="L32:M32"/>
    <mergeCell ref="N32:O32"/>
    <mergeCell ref="B35:C35"/>
    <mergeCell ref="D35:E35"/>
    <mergeCell ref="F35:G35"/>
    <mergeCell ref="H35:I35"/>
    <mergeCell ref="J35:K35"/>
    <mergeCell ref="L35:M35"/>
    <mergeCell ref="N35:O35"/>
    <mergeCell ref="B40:C40"/>
    <mergeCell ref="D40:E40"/>
    <mergeCell ref="F40:G40"/>
    <mergeCell ref="H40:I40"/>
    <mergeCell ref="J40:K40"/>
    <mergeCell ref="L40:M40"/>
    <mergeCell ref="N40:O40"/>
    <mergeCell ref="B41:C41"/>
    <mergeCell ref="D41:E41"/>
    <mergeCell ref="F41:G41"/>
    <mergeCell ref="H41:I41"/>
    <mergeCell ref="J41:K41"/>
    <mergeCell ref="L41:M41"/>
    <mergeCell ref="N41:O41"/>
    <mergeCell ref="B42:C42"/>
    <mergeCell ref="D42:E42"/>
    <mergeCell ref="F42:G42"/>
    <mergeCell ref="H42:I42"/>
    <mergeCell ref="J42:K42"/>
    <mergeCell ref="L42:M42"/>
    <mergeCell ref="N42:O42"/>
    <mergeCell ref="B43:C43"/>
    <mergeCell ref="D43:E43"/>
    <mergeCell ref="F43:G43"/>
    <mergeCell ref="H43:I43"/>
    <mergeCell ref="J43:K43"/>
    <mergeCell ref="L43:M43"/>
    <mergeCell ref="N43:O43"/>
    <mergeCell ref="B33:C33"/>
    <mergeCell ref="D33:E33"/>
    <mergeCell ref="F33:G33"/>
    <mergeCell ref="H33:I33"/>
    <mergeCell ref="J33:K33"/>
    <mergeCell ref="L33:M33"/>
    <mergeCell ref="N33:O33"/>
    <mergeCell ref="B34:C34"/>
    <mergeCell ref="D34:E34"/>
    <mergeCell ref="F34:G34"/>
    <mergeCell ref="H34:I34"/>
    <mergeCell ref="J34:K34"/>
    <mergeCell ref="L34:M34"/>
    <mergeCell ref="N34:O34"/>
    <mergeCell ref="B36:C36"/>
    <mergeCell ref="D36:E36"/>
    <mergeCell ref="F36:G36"/>
    <mergeCell ref="H36:I36"/>
    <mergeCell ref="J36:K36"/>
    <mergeCell ref="L36:M36"/>
    <mergeCell ref="N36:O36"/>
    <mergeCell ref="B37:C37"/>
    <mergeCell ref="D37:E37"/>
    <mergeCell ref="F37:G37"/>
    <mergeCell ref="H37:I37"/>
    <mergeCell ref="J37:K37"/>
    <mergeCell ref="L37:M37"/>
    <mergeCell ref="N37:O37"/>
    <mergeCell ref="B38:C38"/>
    <mergeCell ref="D38:E38"/>
    <mergeCell ref="F38:G38"/>
    <mergeCell ref="H38:I38"/>
    <mergeCell ref="J38:K38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B45:C45"/>
    <mergeCell ref="D45:E45"/>
    <mergeCell ref="F45:G45"/>
    <mergeCell ref="H45:I45"/>
    <mergeCell ref="J45:K45"/>
    <mergeCell ref="L45:M45"/>
    <mergeCell ref="N45:O45"/>
    <mergeCell ref="B44:C44"/>
    <mergeCell ref="D44:E44"/>
    <mergeCell ref="F44:G44"/>
    <mergeCell ref="H44:I44"/>
    <mergeCell ref="J44:K44"/>
    <mergeCell ref="L44:M44"/>
    <mergeCell ref="N44:O44"/>
  </mergeCells>
  <printOptions/>
  <pageMargins bottom="0.5" footer="0.0" header="0.0" left="0.65" right="0.34" top="0.5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9.0"/>
    <col customWidth="1" min="2" max="2" width="8.43"/>
    <col customWidth="1" min="3" max="3" width="8.0"/>
    <col customWidth="1" min="4" max="4" width="5.43"/>
    <col customWidth="1" min="5" max="5" width="11.43"/>
    <col customWidth="1" min="6" max="6" width="17.43"/>
    <col customWidth="1" min="7" max="7" width="7.0"/>
    <col customWidth="1" min="8" max="8" width="6.57"/>
    <col customWidth="1" min="9" max="9" width="7.86"/>
    <col customWidth="1" min="10" max="10" width="6.57"/>
    <col customWidth="1" min="11" max="11" width="8.43"/>
    <col customWidth="1" min="12" max="12" width="6.71"/>
    <col customWidth="1" min="13" max="13" width="9.0"/>
    <col customWidth="1" min="14" max="26" width="8.71"/>
  </cols>
  <sheetData>
    <row r="1" ht="13.5" customHeight="1">
      <c r="A1" s="1"/>
      <c r="B1" s="675" t="s">
        <v>511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1.25" customHeight="1">
      <c r="A2" s="1"/>
      <c r="B2" s="676" t="s">
        <v>512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1.25" customHeight="1">
      <c r="A3" s="1"/>
      <c r="B3" s="677" t="s">
        <v>513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8.0" customHeight="1">
      <c r="A4" s="1"/>
      <c r="B4" s="677" t="s">
        <v>514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678" t="s">
        <v>515</v>
      </c>
      <c r="C5" s="679"/>
      <c r="D5" s="679"/>
      <c r="E5" s="679"/>
      <c r="F5" s="680"/>
      <c r="G5" s="678" t="s">
        <v>516</v>
      </c>
      <c r="H5" s="679"/>
      <c r="I5" s="679"/>
      <c r="J5" s="679"/>
      <c r="K5" s="679"/>
      <c r="L5" s="68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customHeight="1">
      <c r="A6" s="1"/>
      <c r="B6" s="681" t="str">
        <f>IF('Master Data'!H8="","",UPPER('Master Data'!H8))</f>
        <v>HUKMARAM </v>
      </c>
      <c r="C6" s="682"/>
      <c r="D6" s="682"/>
      <c r="E6" s="682"/>
      <c r="F6" s="683"/>
      <c r="G6" s="684" t="str">
        <f>IF('Master Data'!D6="","",UPPER('Master Data'!D6))</f>
        <v>MANJU KUMARI </v>
      </c>
      <c r="H6" s="679"/>
      <c r="I6" s="679"/>
      <c r="J6" s="679"/>
      <c r="K6" s="679"/>
      <c r="L6" s="680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685"/>
      <c r="C7" s="686"/>
      <c r="D7" s="686"/>
      <c r="E7" s="686"/>
      <c r="F7" s="687"/>
      <c r="G7" s="684" t="str">
        <f>IF('Master Data'!D8="","",UPPER('Master Data'!D8))</f>
        <v>GUPS VIRAMPURA MATAJI </v>
      </c>
      <c r="H7" s="679"/>
      <c r="I7" s="679"/>
      <c r="J7" s="679"/>
      <c r="K7" s="679"/>
      <c r="L7" s="680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688" t="s">
        <v>517</v>
      </c>
      <c r="C8" s="679"/>
      <c r="D8" s="680"/>
      <c r="E8" s="688" t="s">
        <v>518</v>
      </c>
      <c r="F8" s="680"/>
      <c r="G8" s="688" t="s">
        <v>519</v>
      </c>
      <c r="H8" s="679"/>
      <c r="I8" s="680"/>
      <c r="J8" s="688" t="s">
        <v>520</v>
      </c>
      <c r="K8" s="679"/>
      <c r="L8" s="680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1"/>
      <c r="B9" s="689"/>
      <c r="C9" s="679"/>
      <c r="D9" s="680"/>
      <c r="E9" s="690" t="str">
        <f>'Master Data'!H12</f>
        <v/>
      </c>
      <c r="F9" s="680"/>
      <c r="G9" s="691" t="str">
        <f>UPPER('Master Data'!D12)</f>
        <v>
HXLPK3160E</v>
      </c>
      <c r="H9" s="679"/>
      <c r="I9" s="680"/>
      <c r="J9" s="691" t="str">
        <f>UPPER('Master Data'!#REF!)</f>
        <v>#ERROR!</v>
      </c>
      <c r="K9" s="679"/>
      <c r="L9" s="68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1"/>
      <c r="B10" s="690" t="s">
        <v>521</v>
      </c>
      <c r="C10" s="679"/>
      <c r="D10" s="679"/>
      <c r="E10" s="679"/>
      <c r="F10" s="680"/>
      <c r="G10" s="690" t="s">
        <v>522</v>
      </c>
      <c r="H10" s="680"/>
      <c r="I10" s="690" t="s">
        <v>523</v>
      </c>
      <c r="J10" s="679"/>
      <c r="K10" s="679"/>
      <c r="L10" s="68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692" t="s">
        <v>524</v>
      </c>
      <c r="C11" s="693" t="s">
        <v>525</v>
      </c>
      <c r="D11" s="679"/>
      <c r="E11" s="679"/>
      <c r="F11" s="680"/>
      <c r="G11" s="694" t="s">
        <v>526</v>
      </c>
      <c r="H11" s="695"/>
      <c r="I11" s="688" t="s">
        <v>527</v>
      </c>
      <c r="J11" s="680"/>
      <c r="K11" s="690" t="s">
        <v>528</v>
      </c>
      <c r="L11" s="68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692" t="s">
        <v>529</v>
      </c>
      <c r="C12" s="693" t="s">
        <v>530</v>
      </c>
      <c r="D12" s="680"/>
      <c r="E12" s="692" t="s">
        <v>531</v>
      </c>
      <c r="F12" s="696">
        <v>306401.0</v>
      </c>
      <c r="G12" s="697"/>
      <c r="H12" s="698"/>
      <c r="I12" s="699" t="s">
        <v>532</v>
      </c>
      <c r="J12" s="680"/>
      <c r="K12" s="699" t="s">
        <v>533</v>
      </c>
      <c r="L12" s="680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7.25" customHeight="1">
      <c r="A13" s="1"/>
      <c r="B13" s="690" t="s">
        <v>534</v>
      </c>
      <c r="C13" s="679"/>
      <c r="D13" s="679"/>
      <c r="E13" s="679"/>
      <c r="F13" s="679"/>
      <c r="G13" s="679"/>
      <c r="H13" s="679"/>
      <c r="I13" s="679"/>
      <c r="J13" s="679"/>
      <c r="K13" s="679"/>
      <c r="L13" s="680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25.5" customHeight="1">
      <c r="A14" s="1"/>
      <c r="B14" s="700" t="s">
        <v>535</v>
      </c>
      <c r="C14" s="701" t="s">
        <v>536</v>
      </c>
      <c r="D14" s="679"/>
      <c r="E14" s="680"/>
      <c r="F14" s="700" t="s">
        <v>537</v>
      </c>
      <c r="G14" s="688" t="s">
        <v>538</v>
      </c>
      <c r="H14" s="679"/>
      <c r="I14" s="680"/>
      <c r="J14" s="688" t="s">
        <v>539</v>
      </c>
      <c r="K14" s="679"/>
      <c r="L14" s="68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6.5" customHeight="1">
      <c r="A15" s="1"/>
      <c r="B15" s="702" t="s">
        <v>540</v>
      </c>
      <c r="C15" s="703"/>
      <c r="D15" s="679"/>
      <c r="E15" s="680"/>
      <c r="F15" s="704"/>
      <c r="G15" s="705" t="str">
        <f>SUM('GA55 Check &amp; Edit'!BX12:BX14)</f>
        <v>#REF!</v>
      </c>
      <c r="H15" s="679"/>
      <c r="I15" s="680"/>
      <c r="J15" s="706" t="str">
        <f t="shared" ref="J15:J18" si="1">G15</f>
        <v>#REF!</v>
      </c>
      <c r="K15" s="679"/>
      <c r="L15" s="680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0.25" customHeight="1">
      <c r="A16" s="1"/>
      <c r="B16" s="702" t="s">
        <v>541</v>
      </c>
      <c r="C16" s="703"/>
      <c r="D16" s="679"/>
      <c r="E16" s="680"/>
      <c r="F16" s="704"/>
      <c r="G16" s="705">
        <f>SUM('GA55 Check &amp; Edit'!BX15:BX17)</f>
        <v>0</v>
      </c>
      <c r="H16" s="679"/>
      <c r="I16" s="680"/>
      <c r="J16" s="706">
        <f t="shared" si="1"/>
        <v>0</v>
      </c>
      <c r="K16" s="679"/>
      <c r="L16" s="680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75" customHeight="1">
      <c r="A17" s="1"/>
      <c r="B17" s="707" t="s">
        <v>542</v>
      </c>
      <c r="C17" s="703"/>
      <c r="D17" s="679"/>
      <c r="E17" s="680"/>
      <c r="F17" s="704"/>
      <c r="G17" s="705">
        <f>SUM('GA55 Check &amp; Edit'!BX18:BX20)</f>
        <v>0</v>
      </c>
      <c r="H17" s="679"/>
      <c r="I17" s="680"/>
      <c r="J17" s="706">
        <f t="shared" si="1"/>
        <v>0</v>
      </c>
      <c r="K17" s="679"/>
      <c r="L17" s="680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.0" customHeight="1">
      <c r="A18" s="1"/>
      <c r="B18" s="707" t="s">
        <v>543</v>
      </c>
      <c r="C18" s="703"/>
      <c r="D18" s="679"/>
      <c r="E18" s="680"/>
      <c r="F18" s="704"/>
      <c r="G18" s="705">
        <f>SUM('GA55 Check &amp; Edit'!BX21:BX23)+SUM('GA55 Only Print'!X18:'GA55 Only Print'!X26)</f>
        <v>0</v>
      </c>
      <c r="H18" s="679"/>
      <c r="I18" s="680"/>
      <c r="J18" s="706">
        <f t="shared" si="1"/>
        <v>0</v>
      </c>
      <c r="K18" s="679"/>
      <c r="L18" s="68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690" t="s">
        <v>544</v>
      </c>
      <c r="C19" s="679"/>
      <c r="D19" s="679"/>
      <c r="E19" s="680"/>
      <c r="F19" s="708">
        <f t="shared" ref="F19:G19" si="2">SUM(F15:F18)</f>
        <v>0</v>
      </c>
      <c r="G19" s="709" t="str">
        <f t="shared" si="2"/>
        <v>#REF!</v>
      </c>
      <c r="H19" s="679"/>
      <c r="I19" s="680"/>
      <c r="J19" s="709" t="str">
        <f>SUM(J15:J18)</f>
        <v>#REF!</v>
      </c>
      <c r="K19" s="679"/>
      <c r="L19" s="680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710" t="s">
        <v>545</v>
      </c>
      <c r="C20" s="711"/>
      <c r="D20" s="711"/>
      <c r="E20" s="711"/>
      <c r="F20" s="711"/>
      <c r="G20" s="711"/>
      <c r="H20" s="711"/>
      <c r="I20" s="711"/>
      <c r="J20" s="711"/>
      <c r="K20" s="711"/>
      <c r="L20" s="695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712" t="s">
        <v>546</v>
      </c>
      <c r="L21" s="713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6.5" customHeight="1">
      <c r="A22" s="1"/>
      <c r="B22" s="714" t="s">
        <v>32</v>
      </c>
      <c r="C22" s="715" t="s">
        <v>547</v>
      </c>
      <c r="D22" s="205"/>
      <c r="E22" s="716" t="s">
        <v>548</v>
      </c>
      <c r="F22" s="197"/>
      <c r="G22" s="197"/>
      <c r="H22" s="197"/>
      <c r="I22" s="197"/>
      <c r="J22" s="197"/>
      <c r="K22" s="197"/>
      <c r="L22" s="19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38.25" customHeight="1">
      <c r="A23" s="1"/>
      <c r="B23" s="222"/>
      <c r="C23" s="208"/>
      <c r="D23" s="210"/>
      <c r="E23" s="717" t="s">
        <v>549</v>
      </c>
      <c r="F23" s="717" t="s">
        <v>550</v>
      </c>
      <c r="G23" s="716" t="s">
        <v>551</v>
      </c>
      <c r="H23" s="197"/>
      <c r="I23" s="198"/>
      <c r="J23" s="716" t="s">
        <v>552</v>
      </c>
      <c r="K23" s="197"/>
      <c r="L23" s="19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"/>
      <c r="B24" s="718">
        <v>1.0</v>
      </c>
      <c r="C24" s="719">
        <f>'GA55 Only Print'!X6</f>
        <v>0</v>
      </c>
      <c r="D24" s="198"/>
      <c r="E24" s="720"/>
      <c r="F24" s="720"/>
      <c r="G24" s="721"/>
      <c r="H24" s="197"/>
      <c r="I24" s="198"/>
      <c r="J24" s="722" t="str">
        <f t="shared" ref="J24:J37" si="3">IF(E24&gt;"0","Yes","-")</f>
        <v>-</v>
      </c>
      <c r="K24" s="197"/>
      <c r="L24" s="19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"/>
      <c r="B25" s="718">
        <v>2.0</v>
      </c>
      <c r="C25" s="719" t="str">
        <f>'GA55 Only Print'!X7</f>
        <v/>
      </c>
      <c r="D25" s="198"/>
      <c r="E25" s="720"/>
      <c r="F25" s="720"/>
      <c r="G25" s="721"/>
      <c r="H25" s="197"/>
      <c r="I25" s="198"/>
      <c r="J25" s="722" t="str">
        <f t="shared" si="3"/>
        <v>-</v>
      </c>
      <c r="K25" s="197"/>
      <c r="L25" s="19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"/>
      <c r="B26" s="718">
        <v>3.0</v>
      </c>
      <c r="C26" s="719" t="str">
        <f>'GA55 Only Print'!X8</f>
        <v/>
      </c>
      <c r="D26" s="198"/>
      <c r="E26" s="720"/>
      <c r="F26" s="720"/>
      <c r="G26" s="721"/>
      <c r="H26" s="197"/>
      <c r="I26" s="198"/>
      <c r="J26" s="722" t="str">
        <f t="shared" si="3"/>
        <v>-</v>
      </c>
      <c r="K26" s="197"/>
      <c r="L26" s="19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"/>
      <c r="B27" s="718">
        <v>4.0</v>
      </c>
      <c r="C27" s="719" t="str">
        <f>'GA55 Only Print'!X9</f>
        <v/>
      </c>
      <c r="D27" s="198"/>
      <c r="E27" s="720"/>
      <c r="F27" s="720"/>
      <c r="G27" s="721"/>
      <c r="H27" s="197"/>
      <c r="I27" s="198"/>
      <c r="J27" s="722" t="str">
        <f t="shared" si="3"/>
        <v>-</v>
      </c>
      <c r="K27" s="197"/>
      <c r="L27" s="19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"/>
      <c r="B28" s="718">
        <v>5.0</v>
      </c>
      <c r="C28" s="719" t="str">
        <f>'GA55 Only Print'!X10</f>
        <v/>
      </c>
      <c r="D28" s="198"/>
      <c r="E28" s="720"/>
      <c r="F28" s="720"/>
      <c r="G28" s="721"/>
      <c r="H28" s="197"/>
      <c r="I28" s="198"/>
      <c r="J28" s="722" t="str">
        <f t="shared" si="3"/>
        <v>-</v>
      </c>
      <c r="K28" s="197"/>
      <c r="L28" s="19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"/>
      <c r="B29" s="718">
        <v>6.0</v>
      </c>
      <c r="C29" s="719" t="str">
        <f>'GA55 Only Print'!X11</f>
        <v/>
      </c>
      <c r="D29" s="198"/>
      <c r="E29" s="720"/>
      <c r="F29" s="720"/>
      <c r="G29" s="721"/>
      <c r="H29" s="197"/>
      <c r="I29" s="198"/>
      <c r="J29" s="722" t="str">
        <f t="shared" si="3"/>
        <v>-</v>
      </c>
      <c r="K29" s="197"/>
      <c r="L29" s="19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"/>
      <c r="B30" s="718">
        <v>7.0</v>
      </c>
      <c r="C30" s="719" t="str">
        <f>'GA55 Only Print'!X12</f>
        <v/>
      </c>
      <c r="D30" s="198"/>
      <c r="E30" s="720"/>
      <c r="F30" s="720"/>
      <c r="G30" s="721"/>
      <c r="H30" s="197"/>
      <c r="I30" s="198"/>
      <c r="J30" s="722" t="str">
        <f t="shared" si="3"/>
        <v>-</v>
      </c>
      <c r="K30" s="197"/>
      <c r="L30" s="19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"/>
      <c r="B31" s="718">
        <v>8.0</v>
      </c>
      <c r="C31" s="719" t="str">
        <f>'GA55 Only Print'!X13</f>
        <v/>
      </c>
      <c r="D31" s="198"/>
      <c r="E31" s="720"/>
      <c r="F31" s="720"/>
      <c r="G31" s="721"/>
      <c r="H31" s="197"/>
      <c r="I31" s="198"/>
      <c r="J31" s="722" t="str">
        <f t="shared" si="3"/>
        <v>-</v>
      </c>
      <c r="K31" s="197"/>
      <c r="L31" s="19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"/>
      <c r="B32" s="718">
        <v>9.0</v>
      </c>
      <c r="C32" s="719">
        <f>'GA55 Only Print'!X14</f>
        <v>0</v>
      </c>
      <c r="D32" s="198"/>
      <c r="E32" s="720"/>
      <c r="F32" s="720"/>
      <c r="G32" s="721"/>
      <c r="H32" s="197"/>
      <c r="I32" s="198"/>
      <c r="J32" s="722" t="str">
        <f t="shared" si="3"/>
        <v>-</v>
      </c>
      <c r="K32" s="197"/>
      <c r="L32" s="19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718">
        <v>10.0</v>
      </c>
      <c r="C33" s="719">
        <f>'GA55 Only Print'!X15</f>
        <v>0</v>
      </c>
      <c r="D33" s="198"/>
      <c r="E33" s="720"/>
      <c r="F33" s="720"/>
      <c r="G33" s="721"/>
      <c r="H33" s="197"/>
      <c r="I33" s="198"/>
      <c r="J33" s="722" t="str">
        <f t="shared" si="3"/>
        <v>-</v>
      </c>
      <c r="K33" s="197"/>
      <c r="L33" s="198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718">
        <v>11.0</v>
      </c>
      <c r="C34" s="719">
        <f>'GA55 Only Print'!X16</f>
        <v>0</v>
      </c>
      <c r="D34" s="198"/>
      <c r="E34" s="720"/>
      <c r="F34" s="720"/>
      <c r="G34" s="721"/>
      <c r="H34" s="197"/>
      <c r="I34" s="198"/>
      <c r="J34" s="722" t="str">
        <f t="shared" si="3"/>
        <v>-</v>
      </c>
      <c r="K34" s="197"/>
      <c r="L34" s="198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718">
        <v>12.0</v>
      </c>
      <c r="C35" s="719">
        <f>'GA55 Only Print'!X17</f>
        <v>0</v>
      </c>
      <c r="D35" s="198"/>
      <c r="E35" s="720"/>
      <c r="F35" s="720"/>
      <c r="G35" s="721"/>
      <c r="H35" s="197"/>
      <c r="I35" s="198"/>
      <c r="J35" s="722" t="str">
        <f t="shared" si="3"/>
        <v>-</v>
      </c>
      <c r="K35" s="197"/>
      <c r="L35" s="198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718">
        <v>13.0</v>
      </c>
      <c r="C36" s="719">
        <f>'GA55 Only Print'!X27-SUM(C24:D35)</f>
        <v>0</v>
      </c>
      <c r="D36" s="198"/>
      <c r="E36" s="720"/>
      <c r="F36" s="720"/>
      <c r="G36" s="721"/>
      <c r="H36" s="197"/>
      <c r="I36" s="198"/>
      <c r="J36" s="722" t="str">
        <f t="shared" si="3"/>
        <v>-</v>
      </c>
      <c r="K36" s="197"/>
      <c r="L36" s="198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hidden="1" customHeight="1">
      <c r="A37" s="1"/>
      <c r="B37" s="718">
        <v>14.0</v>
      </c>
      <c r="C37" s="719" t="str">
        <f>'[3]G.A. 55'!T24+'[3]G.A. 55'!T26</f>
        <v>#REF!</v>
      </c>
      <c r="D37" s="198"/>
      <c r="E37" s="720"/>
      <c r="F37" s="720"/>
      <c r="G37" s="721"/>
      <c r="H37" s="197"/>
      <c r="I37" s="198"/>
      <c r="J37" s="722" t="str">
        <f t="shared" si="3"/>
        <v>-</v>
      </c>
      <c r="K37" s="197"/>
      <c r="L37" s="19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723" t="s">
        <v>553</v>
      </c>
      <c r="C38" s="724" t="str">
        <f>SUM(C24:D37)</f>
        <v>#REF!</v>
      </c>
      <c r="D38" s="198"/>
      <c r="E38" s="725"/>
      <c r="F38" s="197"/>
      <c r="G38" s="197"/>
      <c r="H38" s="197"/>
      <c r="I38" s="197"/>
      <c r="J38" s="197"/>
      <c r="K38" s="197"/>
      <c r="L38" s="19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726" t="s">
        <v>554</v>
      </c>
      <c r="C39" s="197"/>
      <c r="D39" s="197"/>
      <c r="E39" s="197"/>
      <c r="F39" s="197"/>
      <c r="G39" s="197"/>
      <c r="H39" s="197"/>
      <c r="I39" s="197"/>
      <c r="J39" s="197"/>
      <c r="K39" s="197"/>
      <c r="L39" s="19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727" t="s">
        <v>555</v>
      </c>
      <c r="C40" s="204"/>
      <c r="D40" s="204"/>
      <c r="E40" s="204"/>
      <c r="F40" s="204"/>
      <c r="G40" s="204"/>
      <c r="H40" s="204"/>
      <c r="I40" s="204"/>
      <c r="J40" s="204"/>
      <c r="K40" s="204"/>
      <c r="L40" s="205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728" t="s">
        <v>32</v>
      </c>
      <c r="C41" s="729" t="s">
        <v>556</v>
      </c>
      <c r="D41" s="730"/>
      <c r="E41" s="731" t="s">
        <v>557</v>
      </c>
      <c r="F41" s="732"/>
      <c r="G41" s="732"/>
      <c r="H41" s="732"/>
      <c r="I41" s="732"/>
      <c r="J41" s="732"/>
      <c r="K41" s="732"/>
      <c r="L41" s="733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35.25" customHeight="1">
      <c r="A42" s="1"/>
      <c r="B42" s="734"/>
      <c r="C42" s="735"/>
      <c r="D42" s="736"/>
      <c r="E42" s="731" t="s">
        <v>558</v>
      </c>
      <c r="F42" s="733"/>
      <c r="G42" s="731" t="s">
        <v>559</v>
      </c>
      <c r="H42" s="733"/>
      <c r="I42" s="731" t="s">
        <v>560</v>
      </c>
      <c r="J42" s="733"/>
      <c r="K42" s="731" t="s">
        <v>561</v>
      </c>
      <c r="L42" s="733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737">
        <v>1.0</v>
      </c>
      <c r="C43" s="738"/>
      <c r="D43" s="733"/>
      <c r="E43" s="739"/>
      <c r="F43" s="733"/>
      <c r="G43" s="740"/>
      <c r="H43" s="733"/>
      <c r="I43" s="741"/>
      <c r="J43" s="733"/>
      <c r="K43" s="740" t="str">
        <f t="shared" ref="K43:K54" si="4">IF(C43&gt;"0","Yes","-")</f>
        <v>-</v>
      </c>
      <c r="L43" s="733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737">
        <v>2.0</v>
      </c>
      <c r="C44" s="738"/>
      <c r="D44" s="733"/>
      <c r="E44" s="739"/>
      <c r="F44" s="733"/>
      <c r="G44" s="740"/>
      <c r="H44" s="733"/>
      <c r="I44" s="741"/>
      <c r="J44" s="733"/>
      <c r="K44" s="740" t="str">
        <f t="shared" si="4"/>
        <v>-</v>
      </c>
      <c r="L44" s="733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737">
        <v>3.0</v>
      </c>
      <c r="C45" s="738"/>
      <c r="D45" s="733"/>
      <c r="E45" s="739"/>
      <c r="F45" s="733"/>
      <c r="G45" s="740"/>
      <c r="H45" s="733"/>
      <c r="I45" s="741"/>
      <c r="J45" s="733"/>
      <c r="K45" s="740" t="str">
        <f t="shared" si="4"/>
        <v>-</v>
      </c>
      <c r="L45" s="733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737">
        <v>4.0</v>
      </c>
      <c r="C46" s="738"/>
      <c r="D46" s="733"/>
      <c r="E46" s="739"/>
      <c r="F46" s="733"/>
      <c r="G46" s="740"/>
      <c r="H46" s="733"/>
      <c r="I46" s="741"/>
      <c r="J46" s="733"/>
      <c r="K46" s="740" t="str">
        <f t="shared" si="4"/>
        <v>-</v>
      </c>
      <c r="L46" s="733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737">
        <v>5.0</v>
      </c>
      <c r="C47" s="738"/>
      <c r="D47" s="733"/>
      <c r="E47" s="739"/>
      <c r="F47" s="733"/>
      <c r="G47" s="740"/>
      <c r="H47" s="733"/>
      <c r="I47" s="741"/>
      <c r="J47" s="733"/>
      <c r="K47" s="740" t="str">
        <f t="shared" si="4"/>
        <v>-</v>
      </c>
      <c r="L47" s="733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737">
        <v>6.0</v>
      </c>
      <c r="C48" s="738"/>
      <c r="D48" s="733"/>
      <c r="E48" s="739"/>
      <c r="F48" s="733"/>
      <c r="G48" s="740"/>
      <c r="H48" s="733"/>
      <c r="I48" s="741"/>
      <c r="J48" s="733"/>
      <c r="K48" s="740" t="str">
        <f t="shared" si="4"/>
        <v>-</v>
      </c>
      <c r="L48" s="733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737">
        <v>7.0</v>
      </c>
      <c r="C49" s="738"/>
      <c r="D49" s="733"/>
      <c r="E49" s="739"/>
      <c r="F49" s="733"/>
      <c r="G49" s="740"/>
      <c r="H49" s="733"/>
      <c r="I49" s="741"/>
      <c r="J49" s="733"/>
      <c r="K49" s="740" t="str">
        <f t="shared" si="4"/>
        <v>-</v>
      </c>
      <c r="L49" s="733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737">
        <v>8.0</v>
      </c>
      <c r="C50" s="738"/>
      <c r="D50" s="733"/>
      <c r="E50" s="739"/>
      <c r="F50" s="733"/>
      <c r="G50" s="740"/>
      <c r="H50" s="733"/>
      <c r="I50" s="741"/>
      <c r="J50" s="733"/>
      <c r="K50" s="740" t="str">
        <f t="shared" si="4"/>
        <v>-</v>
      </c>
      <c r="L50" s="733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737">
        <v>9.0</v>
      </c>
      <c r="C51" s="738"/>
      <c r="D51" s="733"/>
      <c r="E51" s="739"/>
      <c r="F51" s="733"/>
      <c r="G51" s="740"/>
      <c r="H51" s="733"/>
      <c r="I51" s="741"/>
      <c r="J51" s="733"/>
      <c r="K51" s="740" t="str">
        <f t="shared" si="4"/>
        <v>-</v>
      </c>
      <c r="L51" s="733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737">
        <v>10.0</v>
      </c>
      <c r="C52" s="738"/>
      <c r="D52" s="733"/>
      <c r="E52" s="739"/>
      <c r="F52" s="733"/>
      <c r="G52" s="740"/>
      <c r="H52" s="733"/>
      <c r="I52" s="741"/>
      <c r="J52" s="733"/>
      <c r="K52" s="740" t="str">
        <f t="shared" si="4"/>
        <v>-</v>
      </c>
      <c r="L52" s="733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737">
        <v>11.0</v>
      </c>
      <c r="C53" s="738"/>
      <c r="D53" s="733"/>
      <c r="E53" s="739"/>
      <c r="F53" s="733"/>
      <c r="G53" s="740"/>
      <c r="H53" s="733"/>
      <c r="I53" s="741"/>
      <c r="J53" s="733"/>
      <c r="K53" s="740" t="str">
        <f t="shared" si="4"/>
        <v>-</v>
      </c>
      <c r="L53" s="733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737">
        <v>12.0</v>
      </c>
      <c r="C54" s="738"/>
      <c r="D54" s="733"/>
      <c r="E54" s="739"/>
      <c r="F54" s="733"/>
      <c r="G54" s="740"/>
      <c r="H54" s="733"/>
      <c r="I54" s="741"/>
      <c r="J54" s="733"/>
      <c r="K54" s="740" t="str">
        <f t="shared" si="4"/>
        <v>-</v>
      </c>
      <c r="L54" s="733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hidden="1" customHeight="1">
      <c r="A55" s="1"/>
      <c r="B55" s="737">
        <v>13.0</v>
      </c>
      <c r="C55" s="738"/>
      <c r="D55" s="733"/>
      <c r="E55" s="739"/>
      <c r="F55" s="733"/>
      <c r="G55" s="740"/>
      <c r="H55" s="733"/>
      <c r="I55" s="741"/>
      <c r="J55" s="733"/>
      <c r="K55" s="740"/>
      <c r="L55" s="733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hidden="1" customHeight="1">
      <c r="A56" s="1"/>
      <c r="B56" s="737">
        <v>14.0</v>
      </c>
      <c r="C56" s="738"/>
      <c r="D56" s="733"/>
      <c r="E56" s="739"/>
      <c r="F56" s="733"/>
      <c r="G56" s="740"/>
      <c r="H56" s="733"/>
      <c r="I56" s="741"/>
      <c r="J56" s="733"/>
      <c r="K56" s="740"/>
      <c r="L56" s="733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0" customHeight="1">
      <c r="A57" s="1"/>
      <c r="B57" s="742" t="s">
        <v>553</v>
      </c>
      <c r="C57" s="743">
        <f>SUM(C43:C56)</f>
        <v>0</v>
      </c>
      <c r="D57" s="733"/>
      <c r="E57" s="743"/>
      <c r="F57" s="732"/>
      <c r="G57" s="732"/>
      <c r="H57" s="732"/>
      <c r="I57" s="732"/>
      <c r="J57" s="732"/>
      <c r="K57" s="732"/>
      <c r="L57" s="733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744" t="s">
        <v>562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8.75" customHeight="1">
      <c r="A59" s="1"/>
      <c r="B59" s="745" t="s">
        <v>563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0" customHeight="1">
      <c r="A60" s="1"/>
      <c r="B60" s="746" t="s">
        <v>564</v>
      </c>
      <c r="C60" s="747" t="str">
        <f>B6&amp;","</f>
        <v>HUKMARAM ,</v>
      </c>
      <c r="F60" s="748" t="s">
        <v>565</v>
      </c>
      <c r="G60" s="749"/>
      <c r="H60" s="68"/>
      <c r="I60" s="68"/>
      <c r="J60" s="69"/>
      <c r="K60" s="750" t="s">
        <v>566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748" t="s">
        <v>567</v>
      </c>
      <c r="D61" s="749" t="s">
        <v>568</v>
      </c>
      <c r="E61" s="68"/>
      <c r="F61" s="69"/>
      <c r="G61" s="751" t="s">
        <v>569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752" t="s">
        <v>570</v>
      </c>
      <c r="C62" s="753" t="str">
        <f>J19</f>
        <v>#REF!</v>
      </c>
      <c r="D62" s="746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#REF!</v>
      </c>
      <c r="I62" s="750" t="s">
        <v>571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750" t="s">
        <v>572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750" t="s">
        <v>573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7.25" customHeight="1">
      <c r="A65" s="1"/>
      <c r="B65" s="334" t="s">
        <v>574</v>
      </c>
      <c r="D65" s="754" t="str">
        <f>G7</f>
        <v>GUPS VIRAMPURA MATAJI </v>
      </c>
      <c r="F65" s="747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334" t="s">
        <v>575</v>
      </c>
      <c r="D66" s="755">
        <f>TODAY()</f>
        <v>46001</v>
      </c>
      <c r="E66" s="69"/>
      <c r="F66" s="756" t="s">
        <v>576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0" customHeight="1">
      <c r="A67" s="1"/>
      <c r="B67" s="334" t="s">
        <v>577</v>
      </c>
      <c r="D67" s="754" t="str">
        <f>D61</f>
        <v>PRINCIPAL</v>
      </c>
      <c r="F67" s="757" t="s">
        <v>578</v>
      </c>
      <c r="G67" s="758" t="str">
        <f>B6</f>
        <v>HUKMARAM 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759" t="s">
        <v>579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760" t="s">
        <v>580</v>
      </c>
      <c r="C69" s="761"/>
      <c r="D69" s="761"/>
      <c r="E69" s="761"/>
      <c r="F69" s="761"/>
      <c r="G69" s="761"/>
      <c r="H69" s="761"/>
      <c r="I69" s="761"/>
      <c r="J69" s="761"/>
      <c r="K69" s="761"/>
      <c r="L69" s="4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762" t="s">
        <v>581</v>
      </c>
      <c r="C70" s="761"/>
      <c r="D70" s="761"/>
      <c r="E70" s="761"/>
      <c r="F70" s="4"/>
      <c r="G70" s="763"/>
      <c r="H70" s="4"/>
      <c r="I70" s="764"/>
      <c r="J70" s="765"/>
      <c r="K70" s="766"/>
      <c r="L70" s="765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767" t="s">
        <v>582</v>
      </c>
      <c r="C71" s="761"/>
      <c r="D71" s="761"/>
      <c r="E71" s="761"/>
      <c r="F71" s="4"/>
      <c r="G71" s="768" t="str">
        <f>COMPUTATION!O4</f>
        <v>#ERROR!</v>
      </c>
      <c r="H71" s="4"/>
      <c r="I71" s="548"/>
      <c r="J71" s="487"/>
      <c r="K71" s="548"/>
      <c r="L71" s="487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769" t="s">
        <v>583</v>
      </c>
      <c r="C72" s="761"/>
      <c r="D72" s="761"/>
      <c r="E72" s="761"/>
      <c r="F72" s="4"/>
      <c r="G72" s="768"/>
      <c r="H72" s="4"/>
      <c r="I72" s="548"/>
      <c r="J72" s="487"/>
      <c r="K72" s="548"/>
      <c r="L72" s="487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8.0" customHeight="1">
      <c r="A73" s="1"/>
      <c r="B73" s="767" t="s">
        <v>584</v>
      </c>
      <c r="C73" s="761"/>
      <c r="D73" s="761"/>
      <c r="E73" s="761"/>
      <c r="F73" s="4"/>
      <c r="G73" s="770">
        <v>0.0</v>
      </c>
      <c r="H73" s="4"/>
      <c r="I73" s="771"/>
      <c r="J73" s="772"/>
      <c r="K73" s="548"/>
      <c r="L73" s="487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7.25" customHeight="1">
      <c r="A74" s="1"/>
      <c r="B74" s="773" t="s">
        <v>585</v>
      </c>
      <c r="C74" s="761"/>
      <c r="D74" s="761"/>
      <c r="E74" s="761"/>
      <c r="F74" s="4"/>
      <c r="G74" s="774"/>
      <c r="H74" s="765"/>
      <c r="I74" s="775" t="str">
        <f>G71+G72+G73</f>
        <v>#ERROR!</v>
      </c>
      <c r="J74" s="4"/>
      <c r="K74" s="548"/>
      <c r="L74" s="487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7.25" customHeight="1">
      <c r="A75" s="1"/>
      <c r="B75" s="767" t="s">
        <v>586</v>
      </c>
      <c r="C75" s="761"/>
      <c r="D75" s="761"/>
      <c r="E75" s="761"/>
      <c r="F75" s="4"/>
      <c r="G75" s="548"/>
      <c r="H75" s="487"/>
      <c r="I75" s="776"/>
      <c r="J75" s="765"/>
      <c r="K75" s="548"/>
      <c r="L75" s="48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767" t="s">
        <v>587</v>
      </c>
      <c r="C76" s="761"/>
      <c r="D76" s="761"/>
      <c r="E76" s="761"/>
      <c r="F76" s="4"/>
      <c r="G76" s="548"/>
      <c r="H76" s="487"/>
      <c r="I76" s="548"/>
      <c r="J76" s="487"/>
      <c r="K76" s="548"/>
      <c r="L76" s="487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777" t="s">
        <v>588</v>
      </c>
      <c r="C77" s="761"/>
      <c r="D77" s="4"/>
      <c r="E77" s="778" t="str">
        <f>COMPUTATION!O5</f>
        <v>0</v>
      </c>
      <c r="F77" s="778" t="str">
        <f>E77</f>
        <v>0</v>
      </c>
      <c r="G77" s="771"/>
      <c r="H77" s="772"/>
      <c r="I77" s="548"/>
      <c r="J77" s="487"/>
      <c r="K77" s="548"/>
      <c r="L77" s="487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760" t="s">
        <v>589</v>
      </c>
      <c r="C78" s="761"/>
      <c r="D78" s="4"/>
      <c r="E78" s="779"/>
      <c r="F78" s="778">
        <v>0.0</v>
      </c>
      <c r="G78" s="768">
        <f>F77+F78</f>
        <v>0</v>
      </c>
      <c r="H78" s="4"/>
      <c r="I78" s="771"/>
      <c r="J78" s="772"/>
      <c r="K78" s="548"/>
      <c r="L78" s="487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762" t="s">
        <v>590</v>
      </c>
      <c r="C79" s="761"/>
      <c r="D79" s="761"/>
      <c r="E79" s="761"/>
      <c r="F79" s="4"/>
      <c r="G79" s="776"/>
      <c r="H79" s="765"/>
      <c r="I79" s="775" t="str">
        <f>I74-G78</f>
        <v>#ERROR!</v>
      </c>
      <c r="J79" s="4"/>
      <c r="K79" s="548"/>
      <c r="L79" s="487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780" t="s">
        <v>591</v>
      </c>
      <c r="C80" s="761"/>
      <c r="D80" s="761"/>
      <c r="E80" s="761"/>
      <c r="F80" s="4"/>
      <c r="G80" s="771"/>
      <c r="H80" s="772"/>
      <c r="I80" s="774"/>
      <c r="J80" s="765"/>
      <c r="K80" s="548"/>
      <c r="L80" s="487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781" t="s">
        <v>592</v>
      </c>
      <c r="C81" s="4"/>
      <c r="D81" s="767" t="s">
        <v>593</v>
      </c>
      <c r="E81" s="761"/>
      <c r="F81" s="4"/>
      <c r="G81" s="782">
        <f>COMPUTATION!K10</f>
        <v>75000</v>
      </c>
      <c r="H81" s="4"/>
      <c r="I81" s="548"/>
      <c r="J81" s="487"/>
      <c r="K81" s="548"/>
      <c r="L81" s="487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781" t="s">
        <v>594</v>
      </c>
      <c r="C82" s="4"/>
      <c r="D82" s="767" t="s">
        <v>595</v>
      </c>
      <c r="E82" s="761"/>
      <c r="F82" s="4"/>
      <c r="G82" s="782" t="str">
        <f>COMPUTATION!K7</f>
        <v>0</v>
      </c>
      <c r="H82" s="4"/>
      <c r="I82" s="548"/>
      <c r="J82" s="487"/>
      <c r="K82" s="548"/>
      <c r="L82" s="487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781" t="s">
        <v>596</v>
      </c>
      <c r="C83" s="4"/>
      <c r="D83" s="767" t="s">
        <v>597</v>
      </c>
      <c r="E83" s="761"/>
      <c r="F83" s="4"/>
      <c r="G83" s="783" t="str">
        <f>COMPUTATION!K8</f>
        <v>0</v>
      </c>
      <c r="H83" s="4"/>
      <c r="I83" s="771"/>
      <c r="J83" s="772"/>
      <c r="K83" s="548"/>
      <c r="L83" s="487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780" t="s">
        <v>598</v>
      </c>
      <c r="C84" s="761"/>
      <c r="D84" s="761"/>
      <c r="E84" s="761"/>
      <c r="F84" s="4"/>
      <c r="G84" s="784"/>
      <c r="H84" s="785"/>
      <c r="I84" s="768">
        <f>G82+G83+G81</f>
        <v>75000</v>
      </c>
      <c r="J84" s="4"/>
      <c r="K84" s="771"/>
      <c r="L84" s="77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786" t="s">
        <v>599</v>
      </c>
      <c r="C85" s="761"/>
      <c r="D85" s="761"/>
      <c r="E85" s="761"/>
      <c r="F85" s="4"/>
      <c r="G85" s="787"/>
      <c r="H85" s="788"/>
      <c r="I85" s="764"/>
      <c r="J85" s="765"/>
      <c r="K85" s="789" t="str">
        <f>I79-I84</f>
        <v>#ERROR!</v>
      </c>
      <c r="L85" s="4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780" t="s">
        <v>600</v>
      </c>
      <c r="C86" s="761"/>
      <c r="D86" s="761"/>
      <c r="E86" s="761"/>
      <c r="F86" s="4"/>
      <c r="G86" s="787"/>
      <c r="H86" s="788"/>
      <c r="I86" s="548"/>
      <c r="J86" s="487"/>
      <c r="K86" s="790"/>
      <c r="L86" s="765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791" t="s">
        <v>601</v>
      </c>
      <c r="C87" s="4"/>
      <c r="D87" s="791" t="s">
        <v>602</v>
      </c>
      <c r="E87" s="4"/>
      <c r="F87" s="792" t="s">
        <v>603</v>
      </c>
      <c r="G87" s="787"/>
      <c r="H87" s="788"/>
      <c r="I87" s="548"/>
      <c r="J87" s="487"/>
      <c r="K87" s="548"/>
      <c r="L87" s="487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768" t="str">
        <f>COMPUTATION!D14</f>
        <v>0</v>
      </c>
      <c r="C88" s="4"/>
      <c r="D88" s="768" t="str">
        <f>COMPUTATION!F14</f>
        <v>0</v>
      </c>
      <c r="E88" s="4"/>
      <c r="F88" s="778" t="str">
        <f>COMPUTATION!I14</f>
        <v>0</v>
      </c>
      <c r="G88" s="782">
        <f>SUM(B88+D88+F88)</f>
        <v>0</v>
      </c>
      <c r="H88" s="4"/>
      <c r="I88" s="548"/>
      <c r="J88" s="487"/>
      <c r="K88" s="771"/>
      <c r="L88" s="77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791" t="s">
        <v>604</v>
      </c>
      <c r="C89" s="4"/>
      <c r="D89" s="768" t="str">
        <f>COMPUTATION!K12</f>
        <v/>
      </c>
      <c r="E89" s="4"/>
      <c r="F89" s="786" t="s">
        <v>605</v>
      </c>
      <c r="G89" s="782">
        <f>SUM(D89-G88)</f>
        <v>0</v>
      </c>
      <c r="H89" s="4"/>
      <c r="I89" s="548"/>
      <c r="J89" s="487"/>
      <c r="K89" s="789" t="str">
        <f>K85+G89</f>
        <v>#ERROR!</v>
      </c>
      <c r="L89" s="4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780" t="s">
        <v>606</v>
      </c>
      <c r="C90" s="761"/>
      <c r="D90" s="761"/>
      <c r="E90" s="761"/>
      <c r="F90" s="4"/>
      <c r="G90" s="793"/>
      <c r="H90" s="765"/>
      <c r="I90" s="548"/>
      <c r="J90" s="487"/>
      <c r="K90" s="794"/>
      <c r="L90" s="795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796" t="s">
        <v>607</v>
      </c>
      <c r="C91" s="761"/>
      <c r="D91" s="761"/>
      <c r="E91" s="4"/>
      <c r="F91" s="797">
        <f>COMPUTATION!E17+COMPUTATION!I17</f>
        <v>0</v>
      </c>
      <c r="G91" s="548"/>
      <c r="H91" s="487"/>
      <c r="I91" s="548"/>
      <c r="J91" s="487"/>
      <c r="K91" s="794"/>
      <c r="L91" s="795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796" t="s">
        <v>608</v>
      </c>
      <c r="C92" s="761"/>
      <c r="D92" s="761"/>
      <c r="E92" s="4"/>
      <c r="F92" s="798" t="str">
        <f>COMPUTATION!I16</f>
        <v/>
      </c>
      <c r="G92" s="771"/>
      <c r="H92" s="772"/>
      <c r="I92" s="771"/>
      <c r="J92" s="772"/>
      <c r="K92" s="794"/>
      <c r="L92" s="795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799" t="s">
        <v>609</v>
      </c>
      <c r="C93" s="761"/>
      <c r="D93" s="761"/>
      <c r="E93" s="4"/>
      <c r="F93" s="798" t="str">
        <f>COMPUTATION!E16</f>
        <v/>
      </c>
      <c r="G93" s="782" t="str">
        <f>F93</f>
        <v/>
      </c>
      <c r="H93" s="4"/>
      <c r="I93" s="768">
        <f>F91+F92+F93</f>
        <v>0</v>
      </c>
      <c r="J93" s="4"/>
      <c r="K93" s="800"/>
      <c r="L93" s="80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762" t="s">
        <v>610</v>
      </c>
      <c r="C94" s="761"/>
      <c r="D94" s="761"/>
      <c r="E94" s="761"/>
      <c r="F94" s="761"/>
      <c r="G94" s="761"/>
      <c r="H94" s="761"/>
      <c r="I94" s="761"/>
      <c r="J94" s="4"/>
      <c r="K94" s="789" t="str">
        <f>K89+I93</f>
        <v>#ERROR!</v>
      </c>
      <c r="L94" s="4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0" customHeight="1">
      <c r="A95" s="1"/>
      <c r="B95" s="762" t="s">
        <v>611</v>
      </c>
      <c r="C95" s="761"/>
      <c r="D95" s="761"/>
      <c r="E95" s="761"/>
      <c r="F95" s="761"/>
      <c r="G95" s="761"/>
      <c r="H95" s="761"/>
      <c r="I95" s="761"/>
      <c r="J95" s="761"/>
      <c r="K95" s="761"/>
      <c r="L95" s="4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0" customHeight="1">
      <c r="A96" s="1"/>
      <c r="B96" s="767" t="s">
        <v>612</v>
      </c>
      <c r="C96" s="761"/>
      <c r="D96" s="761"/>
      <c r="E96" s="761"/>
      <c r="F96" s="761"/>
      <c r="G96" s="761"/>
      <c r="H96" s="761"/>
      <c r="I96" s="761"/>
      <c r="J96" s="761"/>
      <c r="K96" s="761"/>
      <c r="L96" s="4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6.5" customHeight="1">
      <c r="A97" s="1"/>
      <c r="B97" s="802" t="s">
        <v>613</v>
      </c>
      <c r="C97" s="761"/>
      <c r="D97" s="761"/>
      <c r="E97" s="761"/>
      <c r="F97" s="4"/>
      <c r="G97" s="803"/>
      <c r="H97" s="4"/>
      <c r="I97" s="804" t="s">
        <v>614</v>
      </c>
      <c r="J97" s="4"/>
      <c r="K97" s="804" t="s">
        <v>615</v>
      </c>
      <c r="L97" s="4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805" t="s">
        <v>616</v>
      </c>
      <c r="C98" s="806">
        <v>1.0</v>
      </c>
      <c r="D98" s="807" t="s">
        <v>617</v>
      </c>
      <c r="E98" s="808" t="str">
        <f>IF('Master Data'!I31='GA55 Check &amp; Edit'!AN5,'GA55 Check &amp; Edit'!AN5,'GA55 Check &amp; Edit'!AN6)</f>
        <v>GPF-2004</v>
      </c>
      <c r="F98" s="4"/>
      <c r="G98" s="809" t="str">
        <f>IF('Master Data'!I31='GA55 Check &amp; Edit'!AN5,COMPUTATION!G26,COMPUTATION!G31)</f>
        <v>0</v>
      </c>
      <c r="H98" s="4"/>
      <c r="I98" s="810"/>
      <c r="J98" s="765"/>
      <c r="K98" s="811"/>
      <c r="L98" s="765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7"/>
      <c r="C99" s="806">
        <v>2.0</v>
      </c>
      <c r="D99" s="7"/>
      <c r="E99" s="808" t="s">
        <v>618</v>
      </c>
      <c r="F99" s="4"/>
      <c r="G99" s="809" t="str">
        <f>COMPUTATION!G21</f>
        <v>0</v>
      </c>
      <c r="H99" s="4"/>
      <c r="I99" s="548"/>
      <c r="J99" s="487"/>
      <c r="K99" s="548"/>
      <c r="L99" s="487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7"/>
      <c r="C100" s="806">
        <v>3.0</v>
      </c>
      <c r="D100" s="7"/>
      <c r="E100" s="808" t="s">
        <v>619</v>
      </c>
      <c r="F100" s="4"/>
      <c r="G100" s="809" t="str">
        <f>COMPUTATION!G27</f>
        <v>0</v>
      </c>
      <c r="H100" s="4"/>
      <c r="I100" s="548"/>
      <c r="J100" s="487"/>
      <c r="K100" s="548"/>
      <c r="L100" s="487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7"/>
      <c r="C101" s="806">
        <v>4.0</v>
      </c>
      <c r="D101" s="7"/>
      <c r="E101" s="808" t="s">
        <v>620</v>
      </c>
      <c r="F101" s="4"/>
      <c r="G101" s="809">
        <f>COMPUTATION!G22+COMPUTATION!G30+COMPUTATION!M27+COMPUTATION!G28</f>
        <v>0</v>
      </c>
      <c r="H101" s="4"/>
      <c r="I101" s="548"/>
      <c r="J101" s="487"/>
      <c r="K101" s="548"/>
      <c r="L101" s="487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7"/>
      <c r="C102" s="806">
        <v>5.0</v>
      </c>
      <c r="D102" s="7"/>
      <c r="E102" s="808" t="s">
        <v>621</v>
      </c>
      <c r="F102" s="4"/>
      <c r="G102" s="809" t="str">
        <f>COMPUTATION!G24</f>
        <v>0</v>
      </c>
      <c r="H102" s="4"/>
      <c r="I102" s="548"/>
      <c r="J102" s="487"/>
      <c r="K102" s="548"/>
      <c r="L102" s="487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7"/>
      <c r="C103" s="806">
        <v>6.0</v>
      </c>
      <c r="D103" s="7"/>
      <c r="E103" s="808" t="s">
        <v>622</v>
      </c>
      <c r="F103" s="4"/>
      <c r="G103" s="809" t="str">
        <f>COMPUTATION!G29</f>
        <v>0</v>
      </c>
      <c r="H103" s="4"/>
      <c r="I103" s="548"/>
      <c r="J103" s="487"/>
      <c r="K103" s="548"/>
      <c r="L103" s="487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7"/>
      <c r="C104" s="806">
        <v>7.0</v>
      </c>
      <c r="D104" s="7"/>
      <c r="E104" s="769" t="s">
        <v>623</v>
      </c>
      <c r="F104" s="4"/>
      <c r="G104" s="809">
        <f>COMPUTATION!M25+COMPUTATION!M26</f>
        <v>0</v>
      </c>
      <c r="H104" s="4"/>
      <c r="I104" s="548"/>
      <c r="J104" s="487"/>
      <c r="K104" s="548"/>
      <c r="L104" s="487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7"/>
      <c r="C105" s="806">
        <v>8.0</v>
      </c>
      <c r="D105" s="7"/>
      <c r="E105" s="808" t="s">
        <v>624</v>
      </c>
      <c r="F105" s="4"/>
      <c r="G105" s="809">
        <f>COMPUTATION!M21+COMPUTATION!M22</f>
        <v>0</v>
      </c>
      <c r="H105" s="4"/>
      <c r="I105" s="548"/>
      <c r="J105" s="487"/>
      <c r="K105" s="548"/>
      <c r="L105" s="487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7"/>
      <c r="C106" s="806">
        <v>9.0</v>
      </c>
      <c r="D106" s="7"/>
      <c r="E106" s="808" t="s">
        <v>625</v>
      </c>
      <c r="F106" s="4"/>
      <c r="G106" s="809" t="str">
        <f>COMPUTATION!M24</f>
        <v>0</v>
      </c>
      <c r="H106" s="4"/>
      <c r="I106" s="548"/>
      <c r="J106" s="487"/>
      <c r="K106" s="548"/>
      <c r="L106" s="487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7"/>
      <c r="C107" s="806">
        <v>10.0</v>
      </c>
      <c r="D107" s="7"/>
      <c r="E107" s="808" t="s">
        <v>626</v>
      </c>
      <c r="F107" s="4"/>
      <c r="G107" s="809">
        <f>COMPUTATION!G25+COMPUTATION!M23</f>
        <v>0</v>
      </c>
      <c r="H107" s="4"/>
      <c r="I107" s="548"/>
      <c r="J107" s="487"/>
      <c r="K107" s="548"/>
      <c r="L107" s="487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8.75" customHeight="1">
      <c r="A108" s="1"/>
      <c r="B108" s="7"/>
      <c r="C108" s="806">
        <v>11.0</v>
      </c>
      <c r="D108" s="7"/>
      <c r="E108" s="769" t="s">
        <v>627</v>
      </c>
      <c r="F108" s="4"/>
      <c r="G108" s="809" t="str">
        <f>COMPUTATION!M29</f>
        <v>0</v>
      </c>
      <c r="H108" s="4"/>
      <c r="I108" s="548"/>
      <c r="J108" s="487"/>
      <c r="K108" s="548"/>
      <c r="L108" s="487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8.75" customHeight="1">
      <c r="A109" s="1"/>
      <c r="B109" s="7"/>
      <c r="C109" s="806">
        <v>12.0</v>
      </c>
      <c r="D109" s="7"/>
      <c r="E109" s="808" t="s">
        <v>628</v>
      </c>
      <c r="F109" s="4"/>
      <c r="G109" s="809" t="str">
        <f>COMPUTATION!M30</f>
        <v>0</v>
      </c>
      <c r="H109" s="4"/>
      <c r="I109" s="771"/>
      <c r="J109" s="772"/>
      <c r="K109" s="771"/>
      <c r="L109" s="772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8.75" customHeight="1">
      <c r="A110" s="1"/>
      <c r="B110" s="7"/>
      <c r="C110" s="806">
        <v>13.0</v>
      </c>
      <c r="D110" s="9"/>
      <c r="E110" s="769" t="s">
        <v>629</v>
      </c>
      <c r="F110" s="4"/>
      <c r="G110" s="809" t="str">
        <f>COMPUTATION!M28</f>
        <v>0</v>
      </c>
      <c r="H110" s="4"/>
      <c r="I110" s="812">
        <f>SUM(G98:H110)</f>
        <v>0</v>
      </c>
      <c r="J110" s="4"/>
      <c r="K110" s="813">
        <f>IF(I110&lt;=150000,I110,150000)</f>
        <v>0</v>
      </c>
      <c r="L110" s="4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6.5" customHeight="1">
      <c r="A111" s="1"/>
      <c r="B111" s="9"/>
      <c r="C111" s="814" t="s">
        <v>630</v>
      </c>
      <c r="D111" s="761"/>
      <c r="E111" s="761"/>
      <c r="F111" s="4"/>
      <c r="G111" s="809">
        <f>COMPUTATION!O34</f>
        <v>0</v>
      </c>
      <c r="H111" s="4"/>
      <c r="I111" s="775" t="s">
        <v>631</v>
      </c>
      <c r="J111" s="4"/>
      <c r="K111" s="775">
        <f>SUM(K110+G111)</f>
        <v>0</v>
      </c>
      <c r="L111" s="4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0" customHeight="1">
      <c r="A112" s="1"/>
      <c r="B112" s="145"/>
      <c r="C112" s="145"/>
      <c r="D112" s="145"/>
      <c r="E112" s="145"/>
      <c r="F112" s="145"/>
      <c r="G112" s="145"/>
      <c r="H112" s="145"/>
      <c r="I112" s="36" t="s">
        <v>632</v>
      </c>
      <c r="L112" s="145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8.0" customHeight="1">
      <c r="A113" s="1"/>
      <c r="B113" s="36" t="s">
        <v>633</v>
      </c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21.0" customHeight="1">
      <c r="A114" s="1"/>
      <c r="B114" s="815" t="s">
        <v>634</v>
      </c>
      <c r="C114" s="679"/>
      <c r="D114" s="679"/>
      <c r="E114" s="679"/>
      <c r="F114" s="680"/>
      <c r="G114" s="816" t="s">
        <v>614</v>
      </c>
      <c r="H114" s="680"/>
      <c r="I114" s="816" t="s">
        <v>635</v>
      </c>
      <c r="J114" s="680"/>
      <c r="K114" s="816" t="s">
        <v>615</v>
      </c>
      <c r="L114" s="680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0" customHeight="1">
      <c r="A115" s="1"/>
      <c r="B115" s="817">
        <v>1.0</v>
      </c>
      <c r="C115" s="684" t="s">
        <v>636</v>
      </c>
      <c r="D115" s="679"/>
      <c r="E115" s="679"/>
      <c r="F115" s="680"/>
      <c r="G115" s="818" t="str">
        <f>COMPUTATION!O37</f>
        <v>0</v>
      </c>
      <c r="H115" s="680"/>
      <c r="I115" s="819" t="str">
        <f t="shared" ref="I115:I123" si="5">G115</f>
        <v>0</v>
      </c>
      <c r="J115" s="680"/>
      <c r="K115" s="820"/>
      <c r="L115" s="695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0" customHeight="1">
      <c r="A116" s="1"/>
      <c r="B116" s="817">
        <v>2.0</v>
      </c>
      <c r="C116" s="684" t="s">
        <v>637</v>
      </c>
      <c r="D116" s="679"/>
      <c r="E116" s="679"/>
      <c r="F116" s="680"/>
      <c r="G116" s="818" t="str">
        <f>COMPUTATION!O38</f>
        <v>0</v>
      </c>
      <c r="H116" s="680"/>
      <c r="I116" s="819" t="str">
        <f t="shared" si="5"/>
        <v>0</v>
      </c>
      <c r="J116" s="680"/>
      <c r="K116" s="821"/>
      <c r="L116" s="71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0" customHeight="1">
      <c r="A117" s="1"/>
      <c r="B117" s="817">
        <v>3.0</v>
      </c>
      <c r="C117" s="684" t="s">
        <v>638</v>
      </c>
      <c r="D117" s="679"/>
      <c r="E117" s="679"/>
      <c r="F117" s="680"/>
      <c r="G117" s="818" t="str">
        <f>COMPUTATION!O39</f>
        <v>0</v>
      </c>
      <c r="H117" s="680"/>
      <c r="I117" s="819" t="str">
        <f t="shared" si="5"/>
        <v>0</v>
      </c>
      <c r="J117" s="680"/>
      <c r="K117" s="821"/>
      <c r="L117" s="71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0" customHeight="1">
      <c r="A118" s="1"/>
      <c r="B118" s="817">
        <v>4.0</v>
      </c>
      <c r="C118" s="684" t="s">
        <v>639</v>
      </c>
      <c r="D118" s="679"/>
      <c r="E118" s="679"/>
      <c r="F118" s="680"/>
      <c r="G118" s="818" t="str">
        <f>COMPUTATION!O40</f>
        <v>0</v>
      </c>
      <c r="H118" s="680"/>
      <c r="I118" s="819" t="str">
        <f t="shared" si="5"/>
        <v>0</v>
      </c>
      <c r="J118" s="680"/>
      <c r="K118" s="821"/>
      <c r="L118" s="71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817">
        <v>5.0</v>
      </c>
      <c r="C119" s="684" t="s">
        <v>640</v>
      </c>
      <c r="D119" s="679"/>
      <c r="E119" s="679"/>
      <c r="F119" s="680"/>
      <c r="G119" s="818" t="str">
        <f>COMPUTATION!O41</f>
        <v>0</v>
      </c>
      <c r="H119" s="680"/>
      <c r="I119" s="819" t="str">
        <f t="shared" si="5"/>
        <v>0</v>
      </c>
      <c r="J119" s="680"/>
      <c r="K119" s="821"/>
      <c r="L119" s="71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0" customHeight="1">
      <c r="A120" s="1"/>
      <c r="B120" s="817">
        <v>6.0</v>
      </c>
      <c r="C120" s="684" t="s">
        <v>641</v>
      </c>
      <c r="D120" s="679"/>
      <c r="E120" s="679"/>
      <c r="F120" s="680"/>
      <c r="G120" s="818" t="str">
        <f>COMPUTATION!O44</f>
        <v>0</v>
      </c>
      <c r="H120" s="680"/>
      <c r="I120" s="819" t="str">
        <f t="shared" si="5"/>
        <v>0</v>
      </c>
      <c r="J120" s="680"/>
      <c r="K120" s="821"/>
      <c r="L120" s="71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0" customHeight="1">
      <c r="A121" s="1"/>
      <c r="B121" s="817">
        <v>7.0</v>
      </c>
      <c r="C121" s="684" t="s">
        <v>642</v>
      </c>
      <c r="D121" s="679"/>
      <c r="E121" s="679"/>
      <c r="F121" s="680"/>
      <c r="G121" s="822" t="str">
        <f>COMPUTATION!O45</f>
        <v>0</v>
      </c>
      <c r="H121" s="680"/>
      <c r="I121" s="819" t="str">
        <f t="shared" si="5"/>
        <v>0</v>
      </c>
      <c r="J121" s="680"/>
      <c r="K121" s="821"/>
      <c r="L121" s="71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0" customHeight="1">
      <c r="A122" s="1"/>
      <c r="B122" s="817">
        <v>8.0</v>
      </c>
      <c r="C122" s="684" t="s">
        <v>643</v>
      </c>
      <c r="D122" s="679"/>
      <c r="E122" s="679"/>
      <c r="F122" s="680"/>
      <c r="G122" s="818" t="str">
        <f>COMPUTATION!O42</f>
        <v>0</v>
      </c>
      <c r="H122" s="680"/>
      <c r="I122" s="819" t="str">
        <f t="shared" si="5"/>
        <v>0</v>
      </c>
      <c r="J122" s="680"/>
      <c r="K122" s="697"/>
      <c r="L122" s="698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6.5" customHeight="1">
      <c r="A123" s="1"/>
      <c r="B123" s="702">
        <v>9.0</v>
      </c>
      <c r="C123" s="688" t="s">
        <v>644</v>
      </c>
      <c r="D123" s="679"/>
      <c r="E123" s="679"/>
      <c r="F123" s="680"/>
      <c r="G123" s="819" t="str">
        <f>COMPUTATION!O43</f>
        <v>0</v>
      </c>
      <c r="H123" s="680"/>
      <c r="I123" s="819" t="str">
        <f t="shared" si="5"/>
        <v>0</v>
      </c>
      <c r="J123" s="680"/>
      <c r="K123" s="823">
        <f>ROUND(SUM(I115:J123),0)</f>
        <v>0</v>
      </c>
      <c r="L123" s="680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824" t="s">
        <v>645</v>
      </c>
      <c r="C124" s="679"/>
      <c r="D124" s="679"/>
      <c r="E124" s="679"/>
      <c r="F124" s="679"/>
      <c r="G124" s="679"/>
      <c r="H124" s="679"/>
      <c r="I124" s="679"/>
      <c r="J124" s="680"/>
      <c r="K124" s="819">
        <f>ROUND((K111+K123),0)</f>
        <v>0</v>
      </c>
      <c r="L124" s="680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0" customHeight="1">
      <c r="A125" s="1"/>
      <c r="B125" s="825" t="s">
        <v>646</v>
      </c>
      <c r="C125" s="679"/>
      <c r="D125" s="679"/>
      <c r="E125" s="826" t="s">
        <v>647</v>
      </c>
      <c r="F125" s="679"/>
      <c r="G125" s="679"/>
      <c r="H125" s="679"/>
      <c r="I125" s="679"/>
      <c r="J125" s="680"/>
      <c r="K125" s="819" t="str">
        <f>ROUND((K94-K124),-1)</f>
        <v>#ERROR!</v>
      </c>
      <c r="L125" s="680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0" customHeight="1">
      <c r="A126" s="1"/>
      <c r="B126" s="827" t="s">
        <v>648</v>
      </c>
      <c r="C126" s="828"/>
      <c r="D126" s="828"/>
      <c r="E126" s="828"/>
      <c r="F126" s="828"/>
      <c r="G126" s="828"/>
      <c r="H126" s="828"/>
      <c r="I126" s="828"/>
      <c r="J126" s="698"/>
      <c r="K126" s="819" t="str">
        <f>COMPUTATION!O61</f>
        <v>#ERROR!</v>
      </c>
      <c r="L126" s="680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0" customHeight="1">
      <c r="A127" s="1"/>
      <c r="B127" s="829" t="s">
        <v>649</v>
      </c>
      <c r="C127" s="679"/>
      <c r="D127" s="679"/>
      <c r="E127" s="679"/>
      <c r="F127" s="679"/>
      <c r="G127" s="679"/>
      <c r="H127" s="679"/>
      <c r="I127" s="679"/>
      <c r="J127" s="680"/>
      <c r="K127" s="830" t="str">
        <f>COMPUTATION!O62</f>
        <v>#ERROR!</v>
      </c>
      <c r="L127" s="680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0" customHeight="1">
      <c r="A128" s="1"/>
      <c r="B128" s="825" t="s">
        <v>650</v>
      </c>
      <c r="C128" s="679"/>
      <c r="D128" s="679"/>
      <c r="E128" s="679"/>
      <c r="F128" s="679"/>
      <c r="G128" s="679"/>
      <c r="H128" s="679"/>
      <c r="I128" s="679"/>
      <c r="J128" s="680"/>
      <c r="K128" s="819" t="str">
        <f>K126-K127</f>
        <v>#ERROR!</v>
      </c>
      <c r="L128" s="680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0" customHeight="1">
      <c r="A129" s="1"/>
      <c r="B129" s="825" t="s">
        <v>651</v>
      </c>
      <c r="C129" s="679"/>
      <c r="D129" s="679"/>
      <c r="E129" s="679"/>
      <c r="F129" s="679"/>
      <c r="G129" s="679"/>
      <c r="H129" s="679"/>
      <c r="I129" s="679"/>
      <c r="J129" s="680"/>
      <c r="K129" s="819" t="str">
        <f>ROUND((K128*0.04),0)</f>
        <v>#ERROR!</v>
      </c>
      <c r="L129" s="680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6.5" customHeight="1">
      <c r="A130" s="1"/>
      <c r="B130" s="825" t="s">
        <v>652</v>
      </c>
      <c r="C130" s="679"/>
      <c r="D130" s="679"/>
      <c r="E130" s="679"/>
      <c r="F130" s="679"/>
      <c r="G130" s="679"/>
      <c r="H130" s="679"/>
      <c r="I130" s="679"/>
      <c r="J130" s="680"/>
      <c r="K130" s="819" t="str">
        <f>K128+K129</f>
        <v>#ERROR!</v>
      </c>
      <c r="L130" s="680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0" customHeight="1">
      <c r="A131" s="1"/>
      <c r="B131" s="825" t="s">
        <v>653</v>
      </c>
      <c r="C131" s="679"/>
      <c r="D131" s="679"/>
      <c r="E131" s="679"/>
      <c r="F131" s="679"/>
      <c r="G131" s="679"/>
      <c r="H131" s="679"/>
      <c r="I131" s="679"/>
      <c r="J131" s="680"/>
      <c r="K131" s="819" t="str">
        <f>COMPUTATION!O66</f>
        <v>0</v>
      </c>
      <c r="L131" s="680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0" customHeight="1">
      <c r="A132" s="1"/>
      <c r="B132" s="825" t="s">
        <v>654</v>
      </c>
      <c r="C132" s="679"/>
      <c r="D132" s="679"/>
      <c r="E132" s="679"/>
      <c r="F132" s="679"/>
      <c r="G132" s="679"/>
      <c r="H132" s="679"/>
      <c r="I132" s="679"/>
      <c r="J132" s="680"/>
      <c r="K132" s="819" t="str">
        <f>K130-K131</f>
        <v>#ERROR!</v>
      </c>
      <c r="L132" s="680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0" customHeight="1">
      <c r="A133" s="1"/>
      <c r="B133" s="825" t="s">
        <v>655</v>
      </c>
      <c r="C133" s="679"/>
      <c r="D133" s="679"/>
      <c r="E133" s="679"/>
      <c r="F133" s="679"/>
      <c r="G133" s="679"/>
      <c r="H133" s="679"/>
      <c r="I133" s="679"/>
      <c r="J133" s="680"/>
      <c r="K133" s="819" t="str">
        <f>COMPUTATION!O69</f>
        <v>#REF!</v>
      </c>
      <c r="L133" s="680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0" customHeight="1">
      <c r="A134" s="1"/>
      <c r="B134" s="831" t="str">
        <f>IF(K132&gt;K133,"Income Tax Payable",IF(K132&lt;K133,"Income Tax Refundable","Income Tax Payble/Refundable"))</f>
        <v>#ERROR!</v>
      </c>
      <c r="C134" s="679"/>
      <c r="D134" s="679"/>
      <c r="E134" s="679"/>
      <c r="F134" s="679"/>
      <c r="G134" s="679"/>
      <c r="H134" s="679"/>
      <c r="I134" s="679"/>
      <c r="J134" s="680"/>
      <c r="K134" s="819" t="str">
        <f>IF(K132&gt;K133,K132-K133,K133-K132)</f>
        <v>#ERROR!</v>
      </c>
      <c r="L134" s="680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26.25" customHeight="1">
      <c r="A135" s="1"/>
      <c r="B135" s="832" t="s">
        <v>563</v>
      </c>
      <c r="C135" s="711"/>
      <c r="D135" s="711"/>
      <c r="E135" s="711"/>
      <c r="F135" s="711"/>
      <c r="G135" s="711"/>
      <c r="H135" s="711"/>
      <c r="I135" s="711"/>
      <c r="J135" s="711"/>
      <c r="K135" s="711"/>
      <c r="L135" s="71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833" t="s">
        <v>564</v>
      </c>
      <c r="C136" s="833" t="str">
        <f>B6&amp;","</f>
        <v>HUKMARAM ,</v>
      </c>
      <c r="F136" s="834" t="s">
        <v>565</v>
      </c>
      <c r="G136" s="835" t="str">
        <f>IF(G60="","",G60)</f>
        <v/>
      </c>
      <c r="K136" s="834" t="s">
        <v>566</v>
      </c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834" t="s">
        <v>567</v>
      </c>
      <c r="D137" s="833" t="str">
        <f>D61</f>
        <v>PRINCIPAL</v>
      </c>
      <c r="G137" s="748" t="s">
        <v>569</v>
      </c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833" t="s">
        <v>570</v>
      </c>
      <c r="C138" s="836" t="str">
        <f>K133</f>
        <v>#REF!</v>
      </c>
      <c r="D138" s="746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#REF!</v>
      </c>
      <c r="I138" s="748" t="s">
        <v>656</v>
      </c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31.5" customHeight="1">
      <c r="A139" s="1"/>
      <c r="B139" s="750" t="s">
        <v>657</v>
      </c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24.75" customHeight="1">
      <c r="A140" s="1"/>
      <c r="B140" s="747" t="s">
        <v>574</v>
      </c>
      <c r="D140" s="837" t="str">
        <f>D65</f>
        <v>GUPS VIRAMPURA MATAJI </v>
      </c>
      <c r="E140" s="69"/>
      <c r="F140" s="747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7.25" customHeight="1">
      <c r="A141" s="1"/>
      <c r="B141" s="746" t="s">
        <v>575</v>
      </c>
      <c r="D141" s="755">
        <f>TODAY()</f>
        <v>46001</v>
      </c>
      <c r="E141" s="69"/>
      <c r="F141" s="838" t="s">
        <v>576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8.75" customHeight="1">
      <c r="A142" s="1"/>
      <c r="B142" s="746" t="s">
        <v>577</v>
      </c>
      <c r="D142" s="744" t="str">
        <f>D137</f>
        <v>PRINCIPAL</v>
      </c>
      <c r="F142" s="757" t="s">
        <v>578</v>
      </c>
      <c r="G142" s="751" t="str">
        <f>B6</f>
        <v>HUKMARAM </v>
      </c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9">
    <mergeCell ref="G71:H71"/>
    <mergeCell ref="G74:H77"/>
    <mergeCell ref="B74:F74"/>
    <mergeCell ref="B75:F75"/>
    <mergeCell ref="B77:D77"/>
    <mergeCell ref="B78:D78"/>
    <mergeCell ref="G78:H78"/>
    <mergeCell ref="B79:F79"/>
    <mergeCell ref="I75:J78"/>
    <mergeCell ref="I79:J79"/>
    <mergeCell ref="G79:H80"/>
    <mergeCell ref="I80:J83"/>
    <mergeCell ref="B81:C81"/>
    <mergeCell ref="D81:F81"/>
    <mergeCell ref="I74:J74"/>
    <mergeCell ref="B76:F76"/>
    <mergeCell ref="B80:F80"/>
    <mergeCell ref="B82:C82"/>
    <mergeCell ref="D82:F82"/>
    <mergeCell ref="G82:H82"/>
    <mergeCell ref="B83:C83"/>
    <mergeCell ref="D83:F83"/>
    <mergeCell ref="G83:H83"/>
    <mergeCell ref="B68:L68"/>
    <mergeCell ref="B69:L69"/>
    <mergeCell ref="B70:F70"/>
    <mergeCell ref="G70:H70"/>
    <mergeCell ref="I70:J73"/>
    <mergeCell ref="K70:L84"/>
    <mergeCell ref="G81:H81"/>
    <mergeCell ref="K85:L85"/>
    <mergeCell ref="B87:C87"/>
    <mergeCell ref="B88:C88"/>
    <mergeCell ref="B89:C89"/>
    <mergeCell ref="D89:E89"/>
    <mergeCell ref="K86:L88"/>
    <mergeCell ref="K89:L89"/>
    <mergeCell ref="E106:F106"/>
    <mergeCell ref="E107:F107"/>
    <mergeCell ref="E108:F108"/>
    <mergeCell ref="G102:H102"/>
    <mergeCell ref="G103:H103"/>
    <mergeCell ref="E104:F104"/>
    <mergeCell ref="G104:H104"/>
    <mergeCell ref="E105:F105"/>
    <mergeCell ref="G105:H105"/>
    <mergeCell ref="G106:H106"/>
    <mergeCell ref="D88:E88"/>
    <mergeCell ref="G88:H88"/>
    <mergeCell ref="G89:H89"/>
    <mergeCell ref="G90:H92"/>
    <mergeCell ref="G93:H93"/>
    <mergeCell ref="B91:E91"/>
    <mergeCell ref="B92:E92"/>
    <mergeCell ref="B93:E93"/>
    <mergeCell ref="B98:B111"/>
    <mergeCell ref="D98:D110"/>
    <mergeCell ref="B84:F84"/>
    <mergeCell ref="I84:J84"/>
    <mergeCell ref="B85:F85"/>
    <mergeCell ref="I85:J92"/>
    <mergeCell ref="B86:F86"/>
    <mergeCell ref="D87:E87"/>
    <mergeCell ref="B90:F90"/>
    <mergeCell ref="I93:J93"/>
    <mergeCell ref="B94:J94"/>
    <mergeCell ref="K94:L94"/>
    <mergeCell ref="B95:L95"/>
    <mergeCell ref="B96:L96"/>
    <mergeCell ref="B97:F97"/>
    <mergeCell ref="G97:H97"/>
    <mergeCell ref="G107:H107"/>
    <mergeCell ref="G108:H108"/>
    <mergeCell ref="E109:F109"/>
    <mergeCell ref="G109:H109"/>
    <mergeCell ref="E110:F110"/>
    <mergeCell ref="G110:H110"/>
    <mergeCell ref="C111:F111"/>
    <mergeCell ref="G111:H111"/>
    <mergeCell ref="I97:J97"/>
    <mergeCell ref="K97:L97"/>
    <mergeCell ref="I98:J109"/>
    <mergeCell ref="K98:L109"/>
    <mergeCell ref="I110:J110"/>
    <mergeCell ref="K110:L110"/>
    <mergeCell ref="K111:L111"/>
    <mergeCell ref="I111:J111"/>
    <mergeCell ref="I112:K112"/>
    <mergeCell ref="B113:L113"/>
    <mergeCell ref="B114:F114"/>
    <mergeCell ref="G114:H114"/>
    <mergeCell ref="I114:J114"/>
    <mergeCell ref="K114:L114"/>
    <mergeCell ref="C117:F117"/>
    <mergeCell ref="G117:H117"/>
    <mergeCell ref="C116:F116"/>
    <mergeCell ref="C118:F118"/>
    <mergeCell ref="G118:H118"/>
    <mergeCell ref="I118:J118"/>
    <mergeCell ref="C119:F119"/>
    <mergeCell ref="G119:H119"/>
    <mergeCell ref="I119:J119"/>
    <mergeCell ref="C120:F120"/>
    <mergeCell ref="G120:H120"/>
    <mergeCell ref="I120:J120"/>
    <mergeCell ref="C121:F121"/>
    <mergeCell ref="G121:H121"/>
    <mergeCell ref="D140:E140"/>
    <mergeCell ref="F140:L140"/>
    <mergeCell ref="B137:C137"/>
    <mergeCell ref="D137:F137"/>
    <mergeCell ref="G137:L137"/>
    <mergeCell ref="D138:H138"/>
    <mergeCell ref="I138:L138"/>
    <mergeCell ref="B139:L139"/>
    <mergeCell ref="B140:C140"/>
    <mergeCell ref="C115:F115"/>
    <mergeCell ref="G115:H115"/>
    <mergeCell ref="I115:J115"/>
    <mergeCell ref="K115:L122"/>
    <mergeCell ref="G116:H116"/>
    <mergeCell ref="I116:J116"/>
    <mergeCell ref="I117:J117"/>
    <mergeCell ref="I121:J121"/>
    <mergeCell ref="C122:F122"/>
    <mergeCell ref="G122:H122"/>
    <mergeCell ref="I122:J122"/>
    <mergeCell ref="G123:H123"/>
    <mergeCell ref="I123:J123"/>
    <mergeCell ref="K123:L123"/>
    <mergeCell ref="C123:F123"/>
    <mergeCell ref="B124:J124"/>
    <mergeCell ref="K124:L124"/>
    <mergeCell ref="B125:D125"/>
    <mergeCell ref="E125:J125"/>
    <mergeCell ref="K125:L125"/>
    <mergeCell ref="K126:L126"/>
    <mergeCell ref="B126:J126"/>
    <mergeCell ref="B127:J127"/>
    <mergeCell ref="K127:L127"/>
    <mergeCell ref="B128:J128"/>
    <mergeCell ref="K128:L128"/>
    <mergeCell ref="B129:J129"/>
    <mergeCell ref="K129:L129"/>
    <mergeCell ref="B130:J130"/>
    <mergeCell ref="K130:L130"/>
    <mergeCell ref="B131:J131"/>
    <mergeCell ref="K131:L131"/>
    <mergeCell ref="B132:J132"/>
    <mergeCell ref="K132:L132"/>
    <mergeCell ref="K133:L133"/>
    <mergeCell ref="B133:J133"/>
    <mergeCell ref="B134:J134"/>
    <mergeCell ref="K134:L134"/>
    <mergeCell ref="B135:L135"/>
    <mergeCell ref="C136:E136"/>
    <mergeCell ref="G136:J136"/>
    <mergeCell ref="K136:L136"/>
    <mergeCell ref="B141:C141"/>
    <mergeCell ref="D141:E141"/>
    <mergeCell ref="F141:L141"/>
    <mergeCell ref="B142:C142"/>
    <mergeCell ref="D142:E142"/>
    <mergeCell ref="G142:L142"/>
    <mergeCell ref="B1:L1"/>
    <mergeCell ref="B2:L2"/>
    <mergeCell ref="B3:L3"/>
    <mergeCell ref="B4:L4"/>
    <mergeCell ref="B5:F5"/>
    <mergeCell ref="G5:L5"/>
    <mergeCell ref="G6:L6"/>
    <mergeCell ref="G7:L7"/>
    <mergeCell ref="E9:F9"/>
    <mergeCell ref="G9:I9"/>
    <mergeCell ref="B6:F6"/>
    <mergeCell ref="B7:F7"/>
    <mergeCell ref="B8:D8"/>
    <mergeCell ref="E8:F8"/>
    <mergeCell ref="G8:I8"/>
    <mergeCell ref="J8:L8"/>
    <mergeCell ref="J9:L9"/>
    <mergeCell ref="I12:J12"/>
    <mergeCell ref="K12:L12"/>
    <mergeCell ref="J14:L14"/>
    <mergeCell ref="J15:L15"/>
    <mergeCell ref="J16:L16"/>
    <mergeCell ref="J17:L17"/>
    <mergeCell ref="J18:L18"/>
    <mergeCell ref="J19:L19"/>
    <mergeCell ref="G11:H12"/>
    <mergeCell ref="G14:I14"/>
    <mergeCell ref="G15:I15"/>
    <mergeCell ref="G16:I16"/>
    <mergeCell ref="G17:I17"/>
    <mergeCell ref="G18:I18"/>
    <mergeCell ref="G19:I19"/>
    <mergeCell ref="B9:D9"/>
    <mergeCell ref="B10:F10"/>
    <mergeCell ref="G10:H10"/>
    <mergeCell ref="I10:L10"/>
    <mergeCell ref="I11:J11"/>
    <mergeCell ref="K11:L11"/>
    <mergeCell ref="B13:L13"/>
    <mergeCell ref="C11:F11"/>
    <mergeCell ref="C12:D12"/>
    <mergeCell ref="C14:E14"/>
    <mergeCell ref="C15:E15"/>
    <mergeCell ref="C16:E16"/>
    <mergeCell ref="C17:E17"/>
    <mergeCell ref="C18:E18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B41:B42"/>
    <mergeCell ref="C41:D42"/>
    <mergeCell ref="C43:D43"/>
    <mergeCell ref="C44:D44"/>
    <mergeCell ref="C45:D45"/>
    <mergeCell ref="C53:D53"/>
    <mergeCell ref="C54:D54"/>
    <mergeCell ref="C55:D55"/>
    <mergeCell ref="C56:D56"/>
    <mergeCell ref="C57:D57"/>
    <mergeCell ref="C46:D46"/>
    <mergeCell ref="C47:D47"/>
    <mergeCell ref="C48:D48"/>
    <mergeCell ref="C49:D49"/>
    <mergeCell ref="C50:D50"/>
    <mergeCell ref="C51:D51"/>
    <mergeCell ref="C52:D52"/>
    <mergeCell ref="B19:E19"/>
    <mergeCell ref="B20:L20"/>
    <mergeCell ref="B21:L21"/>
    <mergeCell ref="B22:B23"/>
    <mergeCell ref="E22:L22"/>
    <mergeCell ref="G23:I23"/>
    <mergeCell ref="J23:L23"/>
    <mergeCell ref="G24:I24"/>
    <mergeCell ref="J24:L24"/>
    <mergeCell ref="G25:I25"/>
    <mergeCell ref="J25:L25"/>
    <mergeCell ref="G26:I26"/>
    <mergeCell ref="J26:L26"/>
    <mergeCell ref="J27:L27"/>
    <mergeCell ref="C22:D23"/>
    <mergeCell ref="C24:D24"/>
    <mergeCell ref="C25:D25"/>
    <mergeCell ref="C26:D26"/>
    <mergeCell ref="C27:D27"/>
    <mergeCell ref="C28:D28"/>
    <mergeCell ref="C29:D29"/>
    <mergeCell ref="G34:I34"/>
    <mergeCell ref="G35:I35"/>
    <mergeCell ref="G36:I36"/>
    <mergeCell ref="G37:I37"/>
    <mergeCell ref="G27:I27"/>
    <mergeCell ref="G28:I28"/>
    <mergeCell ref="G29:I29"/>
    <mergeCell ref="G30:I30"/>
    <mergeCell ref="G31:I31"/>
    <mergeCell ref="G32:I32"/>
    <mergeCell ref="G33:I33"/>
    <mergeCell ref="J28:L28"/>
    <mergeCell ref="J29:L29"/>
    <mergeCell ref="J30:L30"/>
    <mergeCell ref="J31:L31"/>
    <mergeCell ref="J32:L32"/>
    <mergeCell ref="J33:L33"/>
    <mergeCell ref="J34:L34"/>
    <mergeCell ref="J35:L35"/>
    <mergeCell ref="J36:L36"/>
    <mergeCell ref="J37:L37"/>
    <mergeCell ref="E38:L38"/>
    <mergeCell ref="B39:L39"/>
    <mergeCell ref="B40:L40"/>
    <mergeCell ref="E41:L41"/>
    <mergeCell ref="E50:F50"/>
    <mergeCell ref="G50:H50"/>
    <mergeCell ref="I50:J50"/>
    <mergeCell ref="K50:L50"/>
    <mergeCell ref="G51:H51"/>
    <mergeCell ref="I51:J51"/>
    <mergeCell ref="K51:L51"/>
    <mergeCell ref="E51:F51"/>
    <mergeCell ref="E52:F52"/>
    <mergeCell ref="G52:H52"/>
    <mergeCell ref="I52:J52"/>
    <mergeCell ref="K52:L52"/>
    <mergeCell ref="E53:F53"/>
    <mergeCell ref="G53:H53"/>
    <mergeCell ref="E42:F42"/>
    <mergeCell ref="G42:H42"/>
    <mergeCell ref="I42:J42"/>
    <mergeCell ref="K42:L42"/>
    <mergeCell ref="G43:H43"/>
    <mergeCell ref="I43:J43"/>
    <mergeCell ref="K43:L43"/>
    <mergeCell ref="I45:J45"/>
    <mergeCell ref="K45:L45"/>
    <mergeCell ref="E43:F43"/>
    <mergeCell ref="E44:F44"/>
    <mergeCell ref="G44:H44"/>
    <mergeCell ref="I44:J44"/>
    <mergeCell ref="K44:L44"/>
    <mergeCell ref="E45:F45"/>
    <mergeCell ref="G45:H45"/>
    <mergeCell ref="E46:F46"/>
    <mergeCell ref="G46:H46"/>
    <mergeCell ref="I46:J46"/>
    <mergeCell ref="K46:L46"/>
    <mergeCell ref="G47:H47"/>
    <mergeCell ref="I47:J47"/>
    <mergeCell ref="K47:L47"/>
    <mergeCell ref="I49:J49"/>
    <mergeCell ref="K49:L49"/>
    <mergeCell ref="E47:F47"/>
    <mergeCell ref="E48:F48"/>
    <mergeCell ref="G48:H48"/>
    <mergeCell ref="I48:J48"/>
    <mergeCell ref="K48:L48"/>
    <mergeCell ref="E49:F49"/>
    <mergeCell ref="G49:H49"/>
    <mergeCell ref="E55:F55"/>
    <mergeCell ref="E56:F56"/>
    <mergeCell ref="G56:H56"/>
    <mergeCell ref="I56:J56"/>
    <mergeCell ref="K56:L56"/>
    <mergeCell ref="E57:L57"/>
    <mergeCell ref="I53:J53"/>
    <mergeCell ref="K53:L53"/>
    <mergeCell ref="E54:F54"/>
    <mergeCell ref="G54:H54"/>
    <mergeCell ref="I54:J54"/>
    <mergeCell ref="K54:L54"/>
    <mergeCell ref="K55:L55"/>
    <mergeCell ref="G55:H55"/>
    <mergeCell ref="I55:J55"/>
    <mergeCell ref="B58:L58"/>
    <mergeCell ref="B59:L59"/>
    <mergeCell ref="C60:E60"/>
    <mergeCell ref="G60:J60"/>
    <mergeCell ref="K60:L60"/>
    <mergeCell ref="B61:C61"/>
    <mergeCell ref="D61:F61"/>
    <mergeCell ref="G61:L61"/>
    <mergeCell ref="D62:H62"/>
    <mergeCell ref="I62:L62"/>
    <mergeCell ref="B63:L63"/>
    <mergeCell ref="B64:L64"/>
    <mergeCell ref="D67:E67"/>
    <mergeCell ref="G67:L67"/>
    <mergeCell ref="B65:C65"/>
    <mergeCell ref="D65:E65"/>
    <mergeCell ref="F65:L65"/>
    <mergeCell ref="B66:C66"/>
    <mergeCell ref="D66:E66"/>
    <mergeCell ref="F66:L66"/>
    <mergeCell ref="B67:C67"/>
    <mergeCell ref="B71:F71"/>
    <mergeCell ref="B72:F72"/>
    <mergeCell ref="G72:H72"/>
    <mergeCell ref="B73:F73"/>
    <mergeCell ref="G73:H73"/>
    <mergeCell ref="E101:F101"/>
    <mergeCell ref="E102:F102"/>
    <mergeCell ref="E103:F103"/>
    <mergeCell ref="E98:F98"/>
    <mergeCell ref="G98:H98"/>
    <mergeCell ref="E99:F99"/>
    <mergeCell ref="G99:H99"/>
    <mergeCell ref="E100:F100"/>
    <mergeCell ref="G100:H100"/>
    <mergeCell ref="G101:H101"/>
  </mergeCells>
  <conditionalFormatting sqref="E98:E99">
    <cfRule type="containsBlanks" dxfId="8" priority="1">
      <formula>LEN(TRIM(E98))=0</formula>
    </cfRule>
  </conditionalFormatting>
  <conditionalFormatting sqref="B134:L134">
    <cfRule type="expression" dxfId="6" priority="2">
      <formula>$B134="Income Tax Refundable"</formula>
    </cfRule>
  </conditionalFormatting>
  <conditionalFormatting sqref="B134:L134">
    <cfRule type="expression" dxfId="9" priority="3">
      <formula>$B134="Income Tax Payable"</formula>
    </cfRule>
  </conditionalFormatting>
  <printOptions/>
  <pageMargins bottom="0.25" footer="0.0" header="0.0" left="0.45" right="0.35" top="0.2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2020-09-26T13:42:28Z</dcterms:created>
  <dc:creator>Windows User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25a16bcf70164797a4f1c8d729512dd1</vt:lpwstr>
  </property>
</Properties>
</file>