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9.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0.xml" ContentType="application/vnd.openxmlformats-officedocument.drawing+xml"/>
  <Override PartName="/xl/ctrlProps/ctrlProp31.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codeName="{372AB895-14C1-FC20-EB20-F1B4BCFD95AE}"/>
  <workbookPr codeName="ThisWorkbook" defaultThemeVersion="124226"/>
  <mc:AlternateContent xmlns:mc="http://schemas.openxmlformats.org/markup-compatibility/2006">
    <mc:Choice Requires="x15">
      <x15ac:absPath xmlns:x15ac="http://schemas.microsoft.com/office/spreadsheetml/2010/11/ac" url="F:\Excel utility by HR JOSHI\Income Tax Excel Utility\INCOME TAX PROGRAM 2024-25\"/>
    </mc:Choice>
  </mc:AlternateContent>
  <xr:revisionPtr revIDLastSave="0" documentId="13_ncr:1_{B200E7B8-9E36-476B-ADC0-C7AB9569F995}" xr6:coauthVersionLast="47" xr6:coauthVersionMax="47" xr10:uidLastSave="{00000000-0000-0000-0000-000000000000}"/>
  <workbookProtection workbookAlgorithmName="SHA-512" workbookHashValue="Hq716bddF1kEya7Qy8RvrTVF7gpctXOUeol+xxywwgho5TcjtqFj+ObHC0cEv8fVyBWj9LnSmzxPeQNMAxhb7Q==" workbookSaltValue="Vo26Et2tT7UCNEJZZ9UOMQ==" workbookSpinCount="100000" lockStructure="1"/>
  <bookViews>
    <workbookView xWindow="-108" yWindow="-108" windowWidth="23256" windowHeight="12576" tabRatio="781" xr2:uid="{00000000-000D-0000-FFFF-FFFF00000000}"/>
  </bookViews>
  <sheets>
    <sheet name="INTRO" sheetId="1" r:id="rId1"/>
    <sheet name="Gen Info" sheetId="2" r:id="rId2"/>
    <sheet name="Pay &amp; Allowances" sheetId="14" r:id="rId3"/>
    <sheet name="Deductions" sheetId="15" r:id="rId4"/>
    <sheet name="Salary" sheetId="11" r:id="rId5"/>
    <sheet name="Assesment" sheetId="4" r:id="rId6"/>
    <sheet name="Sheet2" sheetId="23" state="hidden" r:id="rId7"/>
    <sheet name="Master" sheetId="5" state="hidden" r:id="rId8"/>
    <sheet name="HRA" sheetId="8" r:id="rId9"/>
    <sheet name="Form16" sheetId="21" r:id="rId10"/>
    <sheet name="us 89(1)" sheetId="17" state="hidden" r:id="rId11"/>
    <sheet name="Form 10E" sheetId="18" state="hidden" r:id="rId12"/>
    <sheet name="Control_10E" sheetId="16" state="hidden" r:id="rId13"/>
    <sheet name="RULES" sheetId="10" state="hidden" r:id="rId14"/>
    <sheet name="Sheet1" sheetId="22" state="hidden" r:id="rId15"/>
  </sheets>
  <definedNames>
    <definedName name="Cader">Master!$AO$10:$AO$14</definedName>
    <definedName name="Pay_Leval">Master!$AL$9:$AL$32</definedName>
    <definedName name="_xlnm.Print_Area" localSheetId="5">Assesment!$A$1:$R$73</definedName>
    <definedName name="_xlnm.Print_Area" localSheetId="11">'Form 10E'!$B$2:$O$41</definedName>
    <definedName name="_xlnm.Print_Area" localSheetId="9">Form16!$B$2:$L$160</definedName>
    <definedName name="_xlnm.Print_Area" localSheetId="4">Salary!$B$3:$AE$34</definedName>
    <definedName name="series_1_12">'Pay &amp; Allowances'!$W$2:$W$13</definedName>
    <definedName name="Z_1E5138D0_1BD0_4D7E_A5B4_E19521ADA196_.wvu.Cols" localSheetId="1" hidden="1">'Gen Info'!#REF!</definedName>
    <definedName name="Z_1E5138D0_1BD0_4D7E_A5B4_E19521ADA196_.wvu.Cols" localSheetId="8" hidden="1">HRA!$D:$E</definedName>
    <definedName name="Z_1E5138D0_1BD0_4D7E_A5B4_E19521ADA196_.wvu.Cols" localSheetId="4" hidden="1">Salary!$AK:$AT</definedName>
    <definedName name="Z_1E5138D0_1BD0_4D7E_A5B4_E19521ADA196_.wvu.PrintArea" localSheetId="5" hidden="1">Assesment!$B$2:$Q$72</definedName>
    <definedName name="Z_1E5138D0_1BD0_4D7E_A5B4_E19521ADA196_.wvu.PrintArea" localSheetId="4" hidden="1">Salary!$A$2:$AE$34</definedName>
  </definedNames>
  <calcPr calcId="191029"/>
  <customWorkbookViews>
    <customWorkbookView name="User - Personal View" guid="{1E5138D0-1BD0-4D7E-A5B4-E19521ADA196}"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Y11" i="11" l="1"/>
  <c r="Y12" i="11" s="1"/>
  <c r="Y13" i="11" s="1"/>
  <c r="Y14" i="11" s="1"/>
  <c r="Y15" i="11" s="1"/>
  <c r="Y16" i="11" s="1"/>
  <c r="Y17" i="11" s="1"/>
  <c r="Y18" i="11" s="1"/>
  <c r="Y19" i="11" s="1"/>
  <c r="Y20" i="11" s="1"/>
  <c r="Y21" i="11" s="1"/>
  <c r="X27" i="11"/>
  <c r="X26" i="11"/>
  <c r="X21" i="11"/>
  <c r="X20" i="11"/>
  <c r="X19" i="11"/>
  <c r="X18" i="11"/>
  <c r="X17" i="11"/>
  <c r="X16" i="11"/>
  <c r="X15" i="11"/>
  <c r="X14" i="11"/>
  <c r="X13" i="11"/>
  <c r="X12" i="11"/>
  <c r="X11" i="11"/>
  <c r="X10" i="11"/>
  <c r="W21" i="11"/>
  <c r="W20" i="11"/>
  <c r="W19" i="11"/>
  <c r="W18" i="11"/>
  <c r="W17" i="11"/>
  <c r="W16" i="11"/>
  <c r="W10" i="11"/>
  <c r="V11" i="11"/>
  <c r="T20" i="11"/>
  <c r="T19" i="11"/>
  <c r="T18" i="11"/>
  <c r="T17" i="11"/>
  <c r="T16" i="11"/>
  <c r="T15" i="11"/>
  <c r="T14" i="11"/>
  <c r="T13" i="11"/>
  <c r="T12" i="11"/>
  <c r="T11" i="11"/>
  <c r="T10" i="11"/>
  <c r="M28" i="11"/>
  <c r="M27" i="11"/>
  <c r="M26" i="11"/>
  <c r="K28" i="11"/>
  <c r="J27" i="11"/>
  <c r="K27" i="11"/>
  <c r="K26" i="11"/>
  <c r="K24" i="11"/>
  <c r="K8" i="11"/>
  <c r="J8" i="11"/>
  <c r="G28" i="11"/>
  <c r="F28" i="11"/>
  <c r="E28" i="11"/>
  <c r="D28" i="11"/>
  <c r="D65" i="21"/>
  <c r="M9" i="18" l="1"/>
  <c r="F40" i="18" l="1"/>
  <c r="D40" i="18"/>
  <c r="D39" i="18"/>
  <c r="B4" i="11"/>
  <c r="H40" i="18" l="1"/>
  <c r="B22" i="16" s="1"/>
  <c r="B10" i="16"/>
  <c r="G22" i="16" l="1"/>
  <c r="H22" i="16" s="1"/>
  <c r="F39" i="18" l="1"/>
  <c r="F38" i="18"/>
  <c r="F37" i="18"/>
  <c r="F36" i="18"/>
  <c r="F35" i="18"/>
  <c r="F34" i="18"/>
  <c r="F33" i="18"/>
  <c r="D38" i="18"/>
  <c r="D37" i="18"/>
  <c r="D36" i="18"/>
  <c r="D35" i="18"/>
  <c r="D34" i="18"/>
  <c r="D33" i="18"/>
  <c r="M22" i="18"/>
  <c r="H36" i="18" l="1"/>
  <c r="H33" i="18"/>
  <c r="H37" i="18"/>
  <c r="H35" i="18"/>
  <c r="H39" i="18"/>
  <c r="H34" i="18"/>
  <c r="H38" i="18"/>
  <c r="B9" i="16"/>
  <c r="N6" i="11"/>
  <c r="B21" i="16" l="1"/>
  <c r="G21" i="16" s="1"/>
  <c r="F40" i="5"/>
  <c r="G40" i="5"/>
  <c r="J40" i="5"/>
  <c r="O40" i="5"/>
  <c r="D28" i="4"/>
  <c r="M8" i="11"/>
  <c r="S6" i="5" s="1"/>
  <c r="I21" i="16" l="1"/>
  <c r="J21" i="16" s="1"/>
  <c r="K21" i="16" s="1"/>
  <c r="C21" i="16" s="1"/>
  <c r="E21" i="16" s="1"/>
  <c r="F21" i="16" s="1"/>
  <c r="L39" i="18" s="1"/>
  <c r="H21" i="16"/>
  <c r="B20" i="16"/>
  <c r="B8" i="16"/>
  <c r="Z8" i="11"/>
  <c r="I8" i="16" l="1"/>
  <c r="J8" i="16" s="1"/>
  <c r="K8" i="16" s="1"/>
  <c r="I20" i="16"/>
  <c r="J20" i="16" s="1"/>
  <c r="K20" i="16" s="1"/>
  <c r="G8" i="16"/>
  <c r="H8" i="16" s="1"/>
  <c r="G20" i="16"/>
  <c r="H20" i="16" s="1"/>
  <c r="E82" i="21"/>
  <c r="C20" i="16" l="1"/>
  <c r="E20" i="16" s="1"/>
  <c r="F20" i="16" s="1"/>
  <c r="L38" i="18" s="1"/>
  <c r="C8" i="16"/>
  <c r="E8" i="16" s="1"/>
  <c r="F8" i="16" s="1"/>
  <c r="J38" i="18" s="1"/>
  <c r="D2" i="5"/>
  <c r="C2" i="5"/>
  <c r="N38" i="18" l="1"/>
  <c r="F33" i="5"/>
  <c r="K3" i="5"/>
  <c r="J27" i="21" l="1"/>
  <c r="J28" i="21"/>
  <c r="J29" i="21"/>
  <c r="J30" i="21"/>
  <c r="J31" i="21"/>
  <c r="J32" i="21"/>
  <c r="J33" i="21"/>
  <c r="J34" i="21"/>
  <c r="J35" i="21"/>
  <c r="J36" i="21"/>
  <c r="J37" i="21"/>
  <c r="J38" i="21"/>
  <c r="J39" i="21"/>
  <c r="J26" i="21"/>
  <c r="R86" i="5" l="1"/>
  <c r="R85" i="5"/>
  <c r="G119" i="21"/>
  <c r="G120" i="21"/>
  <c r="L44" i="5" l="1"/>
  <c r="F44" i="5"/>
  <c r="N6" i="4"/>
  <c r="G76" i="21" s="1"/>
  <c r="H6" i="4"/>
  <c r="G75" i="21" s="1"/>
  <c r="G11" i="21" l="1"/>
  <c r="E11" i="21"/>
  <c r="B9" i="21"/>
  <c r="B8" i="21"/>
  <c r="G9" i="21"/>
  <c r="G8" i="21"/>
  <c r="G138" i="21"/>
  <c r="D138" i="21"/>
  <c r="D133" i="21"/>
  <c r="G132" i="21"/>
  <c r="C132" i="21"/>
  <c r="G70" i="21"/>
  <c r="D70" i="21"/>
  <c r="G63" i="21"/>
  <c r="C63" i="21"/>
  <c r="D64" i="21"/>
  <c r="C61" i="21" l="1"/>
  <c r="J40" i="21"/>
  <c r="F21" i="21"/>
  <c r="J21" i="21" l="1"/>
  <c r="C65" i="21" s="1"/>
  <c r="G21" i="21"/>
  <c r="B3" i="16" l="1"/>
  <c r="G3" i="16" l="1"/>
  <c r="H3" i="16" s="1"/>
  <c r="C3" i="16" s="1"/>
  <c r="E3" i="16" s="1"/>
  <c r="F3" i="16" s="1"/>
  <c r="J33" i="18" s="1"/>
  <c r="B15" i="16"/>
  <c r="G15" i="16" l="1"/>
  <c r="H15" i="16" s="1"/>
  <c r="C15" i="16" s="1"/>
  <c r="E15" i="16" s="1"/>
  <c r="D15" i="16"/>
  <c r="F15" i="16" l="1"/>
  <c r="L33" i="18" s="1"/>
  <c r="N33" i="18" s="1"/>
  <c r="M5" i="17"/>
  <c r="E5" i="17" l="1"/>
  <c r="E6" i="18" s="1"/>
  <c r="E4" i="17"/>
  <c r="E5" i="18" s="1"/>
  <c r="E3" i="17"/>
  <c r="E4" i="18" s="1"/>
  <c r="B7" i="16" l="1"/>
  <c r="B6" i="16"/>
  <c r="B5" i="16"/>
  <c r="G5" i="16" s="1"/>
  <c r="H5" i="16" s="1"/>
  <c r="C5" i="16" s="1"/>
  <c r="E5" i="16" s="1"/>
  <c r="B4" i="16"/>
  <c r="I7" i="16" l="1"/>
  <c r="J7" i="16" s="1"/>
  <c r="K7" i="16" s="1"/>
  <c r="G6" i="16"/>
  <c r="H6" i="16" s="1"/>
  <c r="C6" i="16" s="1"/>
  <c r="E6" i="16" s="1"/>
  <c r="F6" i="16" s="1"/>
  <c r="J36" i="18" s="1"/>
  <c r="G4" i="16"/>
  <c r="H4" i="16" s="1"/>
  <c r="C4" i="16" s="1"/>
  <c r="E4" i="16" s="1"/>
  <c r="D4" i="16"/>
  <c r="F5" i="16"/>
  <c r="J35" i="18" s="1"/>
  <c r="G7" i="16"/>
  <c r="H7" i="16" s="1"/>
  <c r="B18" i="16"/>
  <c r="B16" i="16"/>
  <c r="B19" i="16"/>
  <c r="B17" i="16"/>
  <c r="C7" i="16" l="1"/>
  <c r="G18" i="16"/>
  <c r="H18" i="16" s="1"/>
  <c r="C18" i="16" s="1"/>
  <c r="E18" i="16" s="1"/>
  <c r="F18" i="16" s="1"/>
  <c r="L36" i="18" s="1"/>
  <c r="N36" i="18" s="1"/>
  <c r="G17" i="16"/>
  <c r="H17" i="16" s="1"/>
  <c r="C17" i="16" s="1"/>
  <c r="D16" i="16"/>
  <c r="G16" i="16"/>
  <c r="H16" i="16" s="1"/>
  <c r="C16" i="16" s="1"/>
  <c r="F4" i="16"/>
  <c r="J34" i="18" s="1"/>
  <c r="G19" i="16"/>
  <c r="H19" i="16" s="1"/>
  <c r="I19" i="16"/>
  <c r="J19" i="16" s="1"/>
  <c r="K19" i="16" s="1"/>
  <c r="K28" i="5"/>
  <c r="C19" i="16" l="1"/>
  <c r="E17" i="16"/>
  <c r="F17" i="16" s="1"/>
  <c r="L35" i="18" s="1"/>
  <c r="N35" i="18" s="1"/>
  <c r="E16" i="16"/>
  <c r="F16" i="16" s="1"/>
  <c r="L34" i="18" s="1"/>
  <c r="N34" i="18" s="1"/>
  <c r="H38" i="5"/>
  <c r="I38" i="5" s="1"/>
  <c r="N47" i="5" l="1"/>
  <c r="U4" i="5"/>
  <c r="T3" i="5" l="1"/>
  <c r="K18" i="5"/>
  <c r="K17" i="5"/>
  <c r="K16" i="5"/>
  <c r="K15" i="5"/>
  <c r="K14" i="5"/>
  <c r="K13" i="5"/>
  <c r="K12" i="5"/>
  <c r="K11" i="5"/>
  <c r="K10" i="5"/>
  <c r="K9" i="5"/>
  <c r="K8" i="5"/>
  <c r="K7" i="5"/>
  <c r="C29" i="21" l="1"/>
  <c r="C33" i="21"/>
  <c r="C28" i="21"/>
  <c r="C32" i="21"/>
  <c r="C27" i="21"/>
  <c r="C31" i="21"/>
  <c r="C26" i="21"/>
  <c r="C30" i="21"/>
  <c r="C34" i="21"/>
  <c r="C35" i="21"/>
  <c r="C37" i="21"/>
  <c r="C36" i="21"/>
  <c r="Q15" i="15"/>
  <c r="H17" i="8" l="1"/>
  <c r="M11" i="8"/>
  <c r="J91" i="5"/>
  <c r="S87" i="5"/>
  <c r="R84" i="5"/>
  <c r="R83" i="5"/>
  <c r="R82" i="5"/>
  <c r="R79" i="5"/>
  <c r="P69" i="5"/>
  <c r="P68" i="5"/>
  <c r="H68" i="5"/>
  <c r="P67" i="5"/>
  <c r="P66" i="5"/>
  <c r="P65" i="5"/>
  <c r="H65" i="5"/>
  <c r="P64" i="5"/>
  <c r="H64" i="5"/>
  <c r="P63" i="5"/>
  <c r="H63" i="5"/>
  <c r="P62" i="5"/>
  <c r="S57" i="5"/>
  <c r="R57" i="5"/>
  <c r="S56" i="5"/>
  <c r="R56" i="5"/>
  <c r="J53" i="5"/>
  <c r="N51" i="5"/>
  <c r="N48" i="5"/>
  <c r="Q42" i="5"/>
  <c r="Q41" i="5"/>
  <c r="T28" i="5"/>
  <c r="B28" i="5"/>
  <c r="C25" i="5"/>
  <c r="H23" i="5"/>
  <c r="E23" i="5"/>
  <c r="AF21" i="5"/>
  <c r="O21" i="5"/>
  <c r="N21" i="5"/>
  <c r="M21" i="5"/>
  <c r="L21" i="5"/>
  <c r="K21" i="5"/>
  <c r="J21" i="5"/>
  <c r="J26" i="11" s="1"/>
  <c r="AF20" i="5"/>
  <c r="AF19" i="5"/>
  <c r="AF18" i="5"/>
  <c r="Z18" i="5"/>
  <c r="Y18" i="5"/>
  <c r="AF17" i="5"/>
  <c r="AF16" i="5"/>
  <c r="AF15" i="5"/>
  <c r="AF14" i="5"/>
  <c r="AF13" i="5"/>
  <c r="AF12" i="5"/>
  <c r="AF11" i="5"/>
  <c r="AF10" i="5"/>
  <c r="AJ9" i="5"/>
  <c r="AI9" i="5"/>
  <c r="AH10" i="5" s="1"/>
  <c r="P7" i="5" s="1"/>
  <c r="U10" i="11" s="1"/>
  <c r="AF7" i="5"/>
  <c r="AF6" i="5"/>
  <c r="L6" i="5"/>
  <c r="G6" i="5"/>
  <c r="E6" i="5"/>
  <c r="AF5" i="5"/>
  <c r="G5" i="5"/>
  <c r="E5" i="5"/>
  <c r="AF4" i="5"/>
  <c r="AI3" i="5"/>
  <c r="B3" i="11" s="1"/>
  <c r="B2" i="4" s="1"/>
  <c r="I3" i="5"/>
  <c r="H3" i="5"/>
  <c r="G3" i="5"/>
  <c r="E3" i="5"/>
  <c r="T2" i="5" s="1"/>
  <c r="AA19" i="11" s="1"/>
  <c r="AA30" i="11" s="1"/>
  <c r="D3" i="5"/>
  <c r="B3" i="5"/>
  <c r="O2" i="5"/>
  <c r="M2" i="5"/>
  <c r="J2" i="5"/>
  <c r="L20" i="5" s="1"/>
  <c r="I2" i="5"/>
  <c r="Q19" i="4"/>
  <c r="Q18" i="4"/>
  <c r="M13" i="4"/>
  <c r="P4" i="4"/>
  <c r="L4" i="4"/>
  <c r="E4" i="4"/>
  <c r="Q2" i="4"/>
  <c r="Q54" i="4" s="1"/>
  <c r="P54" i="4" s="1"/>
  <c r="W33" i="11"/>
  <c r="W32" i="11"/>
  <c r="W30" i="11"/>
  <c r="R80" i="5" s="1"/>
  <c r="V30" i="11"/>
  <c r="H67" i="5" s="1"/>
  <c r="S30" i="11"/>
  <c r="G53" i="5" s="1"/>
  <c r="R30" i="11"/>
  <c r="H69" i="5" s="1"/>
  <c r="Q30" i="11"/>
  <c r="P30" i="11"/>
  <c r="I30" i="11"/>
  <c r="AB29" i="11"/>
  <c r="L29" i="11"/>
  <c r="Z25" i="11"/>
  <c r="Z22" i="11"/>
  <c r="AB22" i="11" s="1"/>
  <c r="M70" i="4"/>
  <c r="L70" i="4"/>
  <c r="T9" i="11"/>
  <c r="AA6" i="11"/>
  <c r="U6" i="11"/>
  <c r="I6" i="11"/>
  <c r="D6" i="11"/>
  <c r="AC5" i="11"/>
  <c r="U5" i="11"/>
  <c r="O5" i="11"/>
  <c r="F5" i="11"/>
  <c r="P3" i="4" l="1"/>
  <c r="O70" i="4"/>
  <c r="Q26" i="15"/>
  <c r="S26" i="15" s="1"/>
  <c r="C38" i="21"/>
  <c r="C39" i="21"/>
  <c r="F92" i="21"/>
  <c r="L14" i="8"/>
  <c r="O23" i="5"/>
  <c r="L23" i="5"/>
  <c r="Y30" i="11"/>
  <c r="AC29" i="11"/>
  <c r="M13" i="8"/>
  <c r="J70" i="4"/>
  <c r="L3" i="5"/>
  <c r="H25" i="11" s="1"/>
  <c r="M14" i="8"/>
  <c r="F70" i="4"/>
  <c r="L13" i="8"/>
  <c r="T21" i="11"/>
  <c r="X30" i="11"/>
  <c r="O20" i="5"/>
  <c r="D53" i="5"/>
  <c r="N53" i="5" s="1"/>
  <c r="R54" i="5" s="1"/>
  <c r="G2" i="5"/>
  <c r="G7" i="5"/>
  <c r="H5" i="5" s="1"/>
  <c r="G10" i="11" s="1"/>
  <c r="AD6" i="11"/>
  <c r="AE10" i="5" s="1"/>
  <c r="T10" i="5" s="1"/>
  <c r="O13" i="11" s="1"/>
  <c r="B4" i="5"/>
  <c r="AH11" i="5"/>
  <c r="D11" i="11" s="1"/>
  <c r="AK10" i="5"/>
  <c r="D10" i="11" s="1"/>
  <c r="Q43" i="4" l="1"/>
  <c r="R81" i="5" s="1"/>
  <c r="I25" i="4"/>
  <c r="K15" i="4"/>
  <c r="E15" i="4" s="1"/>
  <c r="Q41" i="4"/>
  <c r="G116" i="21" s="1"/>
  <c r="M9" i="4"/>
  <c r="G85" i="21" s="1"/>
  <c r="Q40" i="4"/>
  <c r="R78" i="5" s="1"/>
  <c r="M10" i="4"/>
  <c r="G86" i="21" s="1"/>
  <c r="I30" i="4"/>
  <c r="L2" i="16"/>
  <c r="I26" i="4"/>
  <c r="G102" i="21" s="1"/>
  <c r="O25" i="4"/>
  <c r="O28" i="4"/>
  <c r="G107" i="21" s="1"/>
  <c r="Q39" i="4"/>
  <c r="R77" i="5" s="1"/>
  <c r="O31" i="4"/>
  <c r="G109" i="21" s="1"/>
  <c r="O26" i="4"/>
  <c r="G104" i="21" s="1"/>
  <c r="H15" i="4"/>
  <c r="Q42" i="4"/>
  <c r="I117" i="21" s="1"/>
  <c r="Q38" i="4"/>
  <c r="R76" i="5" s="1"/>
  <c r="O29" i="4"/>
  <c r="I31" i="4"/>
  <c r="G101" i="21" s="1"/>
  <c r="I29" i="4"/>
  <c r="G100" i="21" s="1"/>
  <c r="O30" i="4"/>
  <c r="G108" i="21" s="1"/>
  <c r="Q47" i="4"/>
  <c r="I119" i="21" s="1"/>
  <c r="O27" i="4"/>
  <c r="G106" i="21" s="1"/>
  <c r="Q44" i="4"/>
  <c r="O24" i="4"/>
  <c r="G110" i="21" s="1"/>
  <c r="Q45" i="4"/>
  <c r="I27" i="4"/>
  <c r="G103" i="21" s="1"/>
  <c r="Q46" i="4"/>
  <c r="G118" i="21" s="1"/>
  <c r="Q48" i="4"/>
  <c r="I120" i="21" s="1"/>
  <c r="O33" i="5"/>
  <c r="M3" i="5"/>
  <c r="M25" i="11" s="1"/>
  <c r="C41" i="21"/>
  <c r="P8" i="5"/>
  <c r="U11" i="11" s="1"/>
  <c r="E7" i="16"/>
  <c r="F7" i="16" s="1"/>
  <c r="J37" i="18" s="1"/>
  <c r="E19" i="16"/>
  <c r="F19" i="16" s="1"/>
  <c r="L37" i="18" s="1"/>
  <c r="Z26" i="11"/>
  <c r="AB26" i="11" s="1"/>
  <c r="Z27" i="11"/>
  <c r="AB27" i="11" s="1"/>
  <c r="T8" i="5"/>
  <c r="O11" i="11" s="1"/>
  <c r="AH12" i="5"/>
  <c r="D12" i="11" s="1"/>
  <c r="T7" i="5"/>
  <c r="O10" i="11" s="1"/>
  <c r="T9" i="5"/>
  <c r="O12" i="11" s="1"/>
  <c r="T11" i="5"/>
  <c r="O14" i="11" s="1"/>
  <c r="P70" i="4"/>
  <c r="U19" i="5"/>
  <c r="AE4" i="5"/>
  <c r="T30" i="11"/>
  <c r="S54" i="5"/>
  <c r="C7" i="5"/>
  <c r="E7" i="5" s="1"/>
  <c r="G121" i="21" l="1"/>
  <c r="I121" i="21"/>
  <c r="I116" i="21"/>
  <c r="G114" i="21"/>
  <c r="I114" i="21"/>
  <c r="N37" i="18"/>
  <c r="G105" i="21"/>
  <c r="I115" i="21"/>
  <c r="R87" i="5"/>
  <c r="G117" i="21"/>
  <c r="M15" i="4"/>
  <c r="Q16" i="4" s="1"/>
  <c r="F91" i="21" s="1"/>
  <c r="G92" i="21" s="1"/>
  <c r="I113" i="21"/>
  <c r="G115" i="21"/>
  <c r="G113" i="21"/>
  <c r="Q49" i="4"/>
  <c r="G123" i="21"/>
  <c r="I118" i="21"/>
  <c r="I123" i="21"/>
  <c r="D37" i="5"/>
  <c r="E37" i="5" s="1"/>
  <c r="C9" i="5"/>
  <c r="E9" i="5" s="1"/>
  <c r="P9" i="5"/>
  <c r="U12" i="11" s="1"/>
  <c r="F10" i="11"/>
  <c r="H7" i="5"/>
  <c r="J10" i="11" s="1"/>
  <c r="L27" i="11"/>
  <c r="AC27" i="11" s="1"/>
  <c r="L26" i="11"/>
  <c r="AC26" i="11" s="1"/>
  <c r="N3" i="5"/>
  <c r="AH13" i="5"/>
  <c r="D13" i="11" s="1"/>
  <c r="T12" i="5"/>
  <c r="O15" i="11" s="1"/>
  <c r="H62" i="5"/>
  <c r="I24" i="4"/>
  <c r="G99" i="21" s="1"/>
  <c r="L25" i="11"/>
  <c r="H30" i="11"/>
  <c r="L28" i="11"/>
  <c r="Z28" i="11"/>
  <c r="AB28" i="11" s="1"/>
  <c r="C8" i="5"/>
  <c r="E8" i="5" s="1"/>
  <c r="Y4" i="5"/>
  <c r="Z4" i="5"/>
  <c r="Q7" i="5"/>
  <c r="R7" i="5" s="1"/>
  <c r="D7" i="5" l="1"/>
  <c r="E10" i="11" s="1"/>
  <c r="S7" i="5"/>
  <c r="M10" i="11" s="1"/>
  <c r="D38" i="5"/>
  <c r="F11" i="11"/>
  <c r="F12" i="11"/>
  <c r="C10" i="5"/>
  <c r="E10" i="5" s="1"/>
  <c r="P10" i="5"/>
  <c r="U13" i="11" s="1"/>
  <c r="D10" i="8"/>
  <c r="H9" i="5"/>
  <c r="J12" i="11" s="1"/>
  <c r="H8" i="5"/>
  <c r="J11" i="11" s="1"/>
  <c r="AB25" i="11"/>
  <c r="AC25" i="11" s="1"/>
  <c r="AH14" i="5"/>
  <c r="D14" i="11" s="1"/>
  <c r="T13" i="5"/>
  <c r="O16" i="11" s="1"/>
  <c r="G8" i="5"/>
  <c r="G11" i="11" s="1"/>
  <c r="G9" i="5"/>
  <c r="G12" i="11" s="1"/>
  <c r="AC28" i="11"/>
  <c r="Q8" i="5"/>
  <c r="R8" i="5" s="1"/>
  <c r="S8" i="5" s="1"/>
  <c r="M11" i="11" s="1"/>
  <c r="Q9" i="5"/>
  <c r="R9" i="5" s="1"/>
  <c r="S9" i="5" s="1"/>
  <c r="M12" i="11" s="1"/>
  <c r="E10" i="8"/>
  <c r="D9" i="5" l="1"/>
  <c r="E12" i="11" s="1"/>
  <c r="D8" i="5"/>
  <c r="E11" i="11" s="1"/>
  <c r="E38" i="5"/>
  <c r="K38" i="5" s="1"/>
  <c r="L38" i="5" s="1"/>
  <c r="K39" i="5"/>
  <c r="L39" i="5" s="1"/>
  <c r="F13" i="11"/>
  <c r="C11" i="5"/>
  <c r="E11" i="5" s="1"/>
  <c r="P11" i="5"/>
  <c r="U14" i="11" s="1"/>
  <c r="H10" i="5"/>
  <c r="J13" i="11" s="1"/>
  <c r="M36" i="5"/>
  <c r="AH15" i="5"/>
  <c r="D15" i="11" s="1"/>
  <c r="T14" i="5"/>
  <c r="O17" i="11" s="1"/>
  <c r="E12" i="8"/>
  <c r="E11" i="8"/>
  <c r="G10" i="5"/>
  <c r="G13" i="11" s="1"/>
  <c r="Q10" i="5"/>
  <c r="R10" i="5" s="1"/>
  <c r="S10" i="5" s="1"/>
  <c r="M13" i="11" s="1"/>
  <c r="D10" i="5" l="1"/>
  <c r="E13" i="11" s="1"/>
  <c r="E40" i="5"/>
  <c r="N38" i="5"/>
  <c r="M39" i="5"/>
  <c r="D30" i="5"/>
  <c r="C12" i="5"/>
  <c r="E12" i="5" s="1"/>
  <c r="P12" i="5"/>
  <c r="U15" i="11" s="1"/>
  <c r="D12" i="8"/>
  <c r="U7" i="5"/>
  <c r="K10" i="11" s="1"/>
  <c r="D11" i="8"/>
  <c r="AH16" i="5"/>
  <c r="D16" i="11" s="1"/>
  <c r="H11" i="5"/>
  <c r="J14" i="11" s="1"/>
  <c r="T15" i="5"/>
  <c r="O18" i="11" s="1"/>
  <c r="E13" i="8"/>
  <c r="F14" i="11"/>
  <c r="G11" i="5"/>
  <c r="G14" i="11" s="1"/>
  <c r="U8" i="5"/>
  <c r="K11" i="11" s="1"/>
  <c r="U9" i="5"/>
  <c r="K12" i="11" s="1"/>
  <c r="Q11" i="5"/>
  <c r="R11" i="5" s="1"/>
  <c r="S11" i="5" s="1"/>
  <c r="M14" i="11" s="1"/>
  <c r="D11" i="5" l="1"/>
  <c r="E14" i="11" s="1"/>
  <c r="M38" i="5"/>
  <c r="H30" i="5"/>
  <c r="I30" i="5" s="1"/>
  <c r="D31" i="5"/>
  <c r="Z10" i="11"/>
  <c r="AB10" i="11" s="1"/>
  <c r="C13" i="5"/>
  <c r="E13" i="5" s="1"/>
  <c r="P13" i="5"/>
  <c r="U16" i="11" s="1"/>
  <c r="D13" i="8"/>
  <c r="L10" i="11"/>
  <c r="I7" i="5" s="1"/>
  <c r="AH17" i="5"/>
  <c r="D17" i="11" s="1"/>
  <c r="H37" i="5"/>
  <c r="H31" i="5"/>
  <c r="I31" i="5" s="1"/>
  <c r="F31" i="5"/>
  <c r="F30" i="5"/>
  <c r="E30" i="5" s="1"/>
  <c r="H12" i="5"/>
  <c r="J15" i="11" s="1"/>
  <c r="T16" i="5"/>
  <c r="O19" i="11" s="1"/>
  <c r="E14" i="8"/>
  <c r="Z11" i="11"/>
  <c r="AB11" i="11" s="1"/>
  <c r="F15" i="11"/>
  <c r="G12" i="5"/>
  <c r="G15" i="11" s="1"/>
  <c r="Z12" i="11"/>
  <c r="AB12" i="11" s="1"/>
  <c r="L12" i="11"/>
  <c r="I9" i="5" s="1"/>
  <c r="Q12" i="5"/>
  <c r="R12" i="5" s="1"/>
  <c r="S12" i="5" s="1"/>
  <c r="M15" i="11" s="1"/>
  <c r="D12" i="5" l="1"/>
  <c r="E15" i="11" s="1"/>
  <c r="E31" i="5"/>
  <c r="D13" i="5"/>
  <c r="E16" i="11" s="1"/>
  <c r="H40" i="5"/>
  <c r="I37" i="5"/>
  <c r="I40" i="5" s="1"/>
  <c r="D32" i="5"/>
  <c r="C14" i="5"/>
  <c r="E14" i="5" s="1"/>
  <c r="P14" i="5"/>
  <c r="U17" i="11" s="1"/>
  <c r="K30" i="5"/>
  <c r="AH18" i="5"/>
  <c r="D18" i="11" s="1"/>
  <c r="AC10" i="11"/>
  <c r="U10" i="5"/>
  <c r="K13" i="11" s="1"/>
  <c r="F32" i="5"/>
  <c r="F36" i="5" s="1"/>
  <c r="H13" i="5"/>
  <c r="J16" i="11" s="1"/>
  <c r="T17" i="5"/>
  <c r="O20" i="11" s="1"/>
  <c r="L11" i="11"/>
  <c r="AC11" i="11" s="1"/>
  <c r="F16" i="11"/>
  <c r="G13" i="5"/>
  <c r="G16" i="11" s="1"/>
  <c r="AC12" i="11"/>
  <c r="U11" i="5"/>
  <c r="K14" i="11" s="1"/>
  <c r="Q13" i="5"/>
  <c r="R13" i="5" s="1"/>
  <c r="S13" i="5" s="1"/>
  <c r="M16" i="11" s="1"/>
  <c r="E15" i="8"/>
  <c r="E32" i="5" l="1"/>
  <c r="N30" i="5"/>
  <c r="L30" i="5"/>
  <c r="H32" i="5"/>
  <c r="I32" i="5" s="1"/>
  <c r="D33" i="5"/>
  <c r="E33" i="5" s="1"/>
  <c r="AH19" i="5"/>
  <c r="D19" i="11" s="1"/>
  <c r="L13" i="11"/>
  <c r="I10" i="5" s="1"/>
  <c r="P15" i="5"/>
  <c r="U18" i="11" s="1"/>
  <c r="T18" i="5"/>
  <c r="O21" i="11" s="1"/>
  <c r="D14" i="8"/>
  <c r="K37" i="5"/>
  <c r="K31" i="5"/>
  <c r="L31" i="5" s="1"/>
  <c r="D15" i="8"/>
  <c r="H14" i="5"/>
  <c r="J17" i="11" s="1"/>
  <c r="O30" i="5"/>
  <c r="I8" i="5"/>
  <c r="E16" i="8"/>
  <c r="F17" i="11"/>
  <c r="G14" i="5"/>
  <c r="G17" i="11" s="1"/>
  <c r="C15" i="5"/>
  <c r="Q14" i="5"/>
  <c r="R14" i="5" s="1"/>
  <c r="S14" i="5" s="1"/>
  <c r="M17" i="11" s="1"/>
  <c r="Z14" i="11"/>
  <c r="L14" i="11"/>
  <c r="D14" i="5" l="1"/>
  <c r="E17" i="11" s="1"/>
  <c r="K40" i="5"/>
  <c r="E24" i="11" s="1"/>
  <c r="L37" i="5"/>
  <c r="L40" i="5" s="1"/>
  <c r="M24" i="11" s="1"/>
  <c r="K32" i="5"/>
  <c r="L32" i="5" s="1"/>
  <c r="E36" i="5"/>
  <c r="H33" i="5"/>
  <c r="I33" i="5" s="1"/>
  <c r="O30" i="11"/>
  <c r="H61" i="5" s="1"/>
  <c r="AH20" i="5"/>
  <c r="D20" i="11" s="1"/>
  <c r="P16" i="5"/>
  <c r="U19" i="11" s="1"/>
  <c r="Z13" i="11"/>
  <c r="AB13" i="11" s="1"/>
  <c r="AC13" i="11" s="1"/>
  <c r="O31" i="5"/>
  <c r="N31" i="5"/>
  <c r="Q31" i="5" s="1"/>
  <c r="U12" i="5"/>
  <c r="K15" i="11" s="1"/>
  <c r="D16" i="8"/>
  <c r="H15" i="5"/>
  <c r="J18" i="11" s="1"/>
  <c r="E15" i="5"/>
  <c r="F18" i="11" s="1"/>
  <c r="G15" i="5"/>
  <c r="G18" i="11" s="1"/>
  <c r="AB14" i="11"/>
  <c r="U13" i="5"/>
  <c r="K16" i="11" s="1"/>
  <c r="C16" i="5"/>
  <c r="E17" i="8"/>
  <c r="Q15" i="5"/>
  <c r="R15" i="5" s="1"/>
  <c r="S15" i="5" s="1"/>
  <c r="M18" i="11" s="1"/>
  <c r="I11" i="5"/>
  <c r="D15" i="5" l="1"/>
  <c r="E18" i="11" s="1"/>
  <c r="H36" i="5"/>
  <c r="I23" i="4"/>
  <c r="G98" i="21" s="1"/>
  <c r="AH21" i="5"/>
  <c r="D21" i="11" s="1"/>
  <c r="P17" i="5"/>
  <c r="U20" i="11" s="1"/>
  <c r="L15" i="11"/>
  <c r="I12" i="5" s="1"/>
  <c r="Z15" i="11"/>
  <c r="AB15" i="11" s="1"/>
  <c r="N37" i="5"/>
  <c r="N40" i="5" s="1"/>
  <c r="M37" i="5"/>
  <c r="M40" i="5" s="1"/>
  <c r="D17" i="8"/>
  <c r="N32" i="5"/>
  <c r="O32" i="5"/>
  <c r="O36" i="5" s="1"/>
  <c r="N23" i="11" s="1"/>
  <c r="H16" i="5"/>
  <c r="J19" i="11" s="1"/>
  <c r="E18" i="8"/>
  <c r="E16" i="5"/>
  <c r="F19" i="11" s="1"/>
  <c r="G16" i="5"/>
  <c r="G19" i="11" s="1"/>
  <c r="Q16" i="5"/>
  <c r="R16" i="5" s="1"/>
  <c r="S16" i="5" s="1"/>
  <c r="M19" i="11" s="1"/>
  <c r="C17" i="5"/>
  <c r="AC14" i="11"/>
  <c r="Z16" i="11"/>
  <c r="AB16" i="11" s="1"/>
  <c r="L16" i="11"/>
  <c r="D16" i="5" l="1"/>
  <c r="E19" i="11" s="1"/>
  <c r="K33" i="5"/>
  <c r="L33" i="5" s="1"/>
  <c r="I36" i="5"/>
  <c r="P18" i="5"/>
  <c r="U21" i="11" s="1"/>
  <c r="AC15" i="11"/>
  <c r="Z24" i="11"/>
  <c r="AB24" i="11" s="1"/>
  <c r="L24" i="11"/>
  <c r="U14" i="5"/>
  <c r="K17" i="11" s="1"/>
  <c r="D18" i="8"/>
  <c r="N30" i="11"/>
  <c r="H17" i="5"/>
  <c r="J20" i="11" s="1"/>
  <c r="E19" i="8"/>
  <c r="E17" i="5"/>
  <c r="F20" i="11" s="1"/>
  <c r="G17" i="5"/>
  <c r="G20" i="11" s="1"/>
  <c r="Q17" i="5"/>
  <c r="R17" i="5" s="1"/>
  <c r="S17" i="5" s="1"/>
  <c r="M20" i="11" s="1"/>
  <c r="C18" i="5"/>
  <c r="I13" i="5"/>
  <c r="AC16" i="11"/>
  <c r="D17" i="5" l="1"/>
  <c r="E20" i="11" s="1"/>
  <c r="K36" i="5"/>
  <c r="E23" i="11" s="1"/>
  <c r="U30" i="11"/>
  <c r="L17" i="11"/>
  <c r="I14" i="5" s="1"/>
  <c r="AC24" i="11"/>
  <c r="D19" i="8"/>
  <c r="U15" i="5"/>
  <c r="K18" i="11" s="1"/>
  <c r="H18" i="5"/>
  <c r="J21" i="11" s="1"/>
  <c r="E20" i="8"/>
  <c r="Z17" i="11"/>
  <c r="AB17" i="11" s="1"/>
  <c r="E18" i="5"/>
  <c r="F21" i="11" s="1"/>
  <c r="G18" i="5"/>
  <c r="G21" i="11" s="1"/>
  <c r="U16" i="5"/>
  <c r="K19" i="11" s="1"/>
  <c r="Q18" i="5"/>
  <c r="R18" i="5" s="1"/>
  <c r="S18" i="5" s="1"/>
  <c r="M21" i="11" s="1"/>
  <c r="C19" i="5"/>
  <c r="M6" i="5" s="1"/>
  <c r="D22" i="11" s="1"/>
  <c r="D18" i="5" l="1"/>
  <c r="E21" i="11" s="1"/>
  <c r="L36" i="5"/>
  <c r="M23" i="11" s="1"/>
  <c r="N33" i="5"/>
  <c r="N36" i="5" s="1"/>
  <c r="K23" i="11" s="1"/>
  <c r="AC17" i="11"/>
  <c r="Z18" i="11"/>
  <c r="AB18" i="11" s="1"/>
  <c r="L18" i="11"/>
  <c r="I15" i="5" s="1"/>
  <c r="D20" i="8"/>
  <c r="O4" i="5"/>
  <c r="J22" i="11" s="1"/>
  <c r="G30" i="11"/>
  <c r="L19" i="11"/>
  <c r="I16" i="5" s="1"/>
  <c r="Z19" i="11"/>
  <c r="AB19" i="11" s="1"/>
  <c r="E21" i="8"/>
  <c r="E22" i="8" s="1"/>
  <c r="F30" i="11"/>
  <c r="E21" i="5" s="1"/>
  <c r="N6" i="5" l="1"/>
  <c r="E22" i="11" s="1"/>
  <c r="Z23" i="11"/>
  <c r="AB23" i="11" s="1"/>
  <c r="L23" i="11"/>
  <c r="AC18" i="11"/>
  <c r="D21" i="8"/>
  <c r="D22" i="8" s="1"/>
  <c r="H25" i="5" s="1"/>
  <c r="M17" i="8" s="1"/>
  <c r="U17" i="5"/>
  <c r="K20" i="11" s="1"/>
  <c r="J30" i="11"/>
  <c r="E20" i="5"/>
  <c r="L12" i="8" s="1"/>
  <c r="H21" i="5"/>
  <c r="M15" i="8"/>
  <c r="D30" i="11"/>
  <c r="L15" i="8"/>
  <c r="AC19" i="11"/>
  <c r="AC23" i="11" l="1"/>
  <c r="L20" i="11"/>
  <c r="I17" i="5" s="1"/>
  <c r="U18" i="5"/>
  <c r="K21" i="11" s="1"/>
  <c r="E30" i="11"/>
  <c r="E22" i="5"/>
  <c r="E24" i="5" s="1"/>
  <c r="L16" i="8" s="1"/>
  <c r="E25" i="5"/>
  <c r="L17" i="8" s="1"/>
  <c r="O6" i="5"/>
  <c r="H20" i="5"/>
  <c r="M12" i="8" s="1"/>
  <c r="H22" i="5"/>
  <c r="H24" i="5" s="1"/>
  <c r="H27" i="5" s="1"/>
  <c r="M18" i="8" s="1"/>
  <c r="Z20" i="11"/>
  <c r="AB20" i="11" s="1"/>
  <c r="M30" i="11"/>
  <c r="I28" i="4" l="1"/>
  <c r="G97" i="21" s="1"/>
  <c r="H66" i="5"/>
  <c r="AC20" i="11"/>
  <c r="Z21" i="11"/>
  <c r="Z30" i="11" s="1"/>
  <c r="K30" i="11"/>
  <c r="L22" i="11"/>
  <c r="AC22" i="11" s="1"/>
  <c r="E27" i="5"/>
  <c r="L18" i="8" s="1"/>
  <c r="E26" i="5"/>
  <c r="H26" i="5"/>
  <c r="M16" i="8"/>
  <c r="R72" i="5"/>
  <c r="Q34" i="4"/>
  <c r="AB21" i="11" l="1"/>
  <c r="AB30" i="11" s="1"/>
  <c r="L21" i="11"/>
  <c r="I18" i="5" s="1"/>
  <c r="M5" i="8"/>
  <c r="J5" i="8"/>
  <c r="R29" i="5"/>
  <c r="S72" i="5"/>
  <c r="S74" i="5" s="1"/>
  <c r="S88" i="5" s="1"/>
  <c r="T27" i="5"/>
  <c r="AC21" i="11" l="1"/>
  <c r="AC30" i="11" s="1"/>
  <c r="L30" i="11"/>
  <c r="N5" i="4" s="1"/>
  <c r="G74" i="21" s="1"/>
  <c r="I77" i="21" s="1"/>
  <c r="I78" i="21" s="1"/>
  <c r="R45" i="5"/>
  <c r="E81" i="21"/>
  <c r="Q7" i="4"/>
  <c r="T29" i="5"/>
  <c r="T31" i="5" s="1"/>
  <c r="S43" i="5" l="1"/>
  <c r="S44" i="5" s="1"/>
  <c r="S46" i="5" s="1"/>
  <c r="S49" i="5" s="1"/>
  <c r="Q5" i="4"/>
  <c r="Q8" i="4" s="1"/>
  <c r="M11" i="4" s="1"/>
  <c r="R43" i="5"/>
  <c r="R44" i="5" s="1"/>
  <c r="R46" i="5" s="1"/>
  <c r="N49" i="5" s="1"/>
  <c r="G82" i="21"/>
  <c r="I83" i="21" s="1"/>
  <c r="G84" i="21" l="1"/>
  <c r="I87" i="21" s="1"/>
  <c r="K88" i="21" s="1"/>
  <c r="K93" i="21" s="1"/>
  <c r="R49" i="5" l="1"/>
  <c r="R50" i="5" s="1"/>
  <c r="R55" i="5" s="1"/>
  <c r="R58" i="5" s="1"/>
  <c r="S50" i="5"/>
  <c r="S55" i="5" s="1"/>
  <c r="S58" i="5" s="1"/>
  <c r="S89" i="5" s="1"/>
  <c r="Q11" i="4"/>
  <c r="Q12" i="4" s="1"/>
  <c r="Q17" i="4" s="1"/>
  <c r="Q20" i="4" s="1"/>
  <c r="S90" i="5" l="1"/>
  <c r="V9" i="4" l="1"/>
  <c r="P109" i="5"/>
  <c r="U101" i="5"/>
  <c r="J108" i="5"/>
  <c r="S93" i="5"/>
  <c r="Q95" i="5" l="1"/>
  <c r="S95" i="5" s="1"/>
  <c r="Q96" i="5"/>
  <c r="S96" i="5" s="1"/>
  <c r="Q99" i="5"/>
  <c r="S99" i="5" s="1"/>
  <c r="Q60" i="4" s="1"/>
  <c r="Q97" i="5"/>
  <c r="S97" i="5" s="1"/>
  <c r="Q94" i="5"/>
  <c r="Q98" i="5"/>
  <c r="S98" i="5" s="1"/>
  <c r="T30" i="5"/>
  <c r="S94" i="5" l="1"/>
  <c r="Q55" i="4" s="1"/>
  <c r="O32" i="4"/>
  <c r="Q33" i="4" s="1"/>
  <c r="G111" i="21"/>
  <c r="I111" i="21" s="1"/>
  <c r="K111" i="21" s="1"/>
  <c r="P61" i="5"/>
  <c r="P70" i="5" s="1"/>
  <c r="R71" i="5" s="1"/>
  <c r="Q35" i="4"/>
  <c r="R73" i="5"/>
  <c r="G122" i="21" l="1"/>
  <c r="I122" i="21"/>
  <c r="K123" i="21" s="1"/>
  <c r="Q36" i="4"/>
  <c r="Q50" i="4" s="1"/>
  <c r="Q51" i="4" s="1"/>
  <c r="R74" i="5"/>
  <c r="R88" i="5" s="1"/>
  <c r="R89" i="5" s="1"/>
  <c r="Q52" i="4" l="1"/>
  <c r="N108" i="5"/>
  <c r="K124" i="21"/>
  <c r="K125" i="21" s="1"/>
  <c r="R90" i="5"/>
  <c r="U9" i="4" s="1"/>
  <c r="M31" i="17" l="1"/>
  <c r="M23" i="18" s="1"/>
  <c r="R93" i="5"/>
  <c r="H98" i="5" s="1"/>
  <c r="I9" i="16"/>
  <c r="J9" i="16" s="1"/>
  <c r="G9" i="16"/>
  <c r="H9" i="16" s="1"/>
  <c r="M21" i="18" l="1"/>
  <c r="B11" i="16" s="1"/>
  <c r="B23" i="16"/>
  <c r="I10" i="16"/>
  <c r="J10" i="16" s="1"/>
  <c r="K10" i="16" s="1"/>
  <c r="C10" i="16" s="1"/>
  <c r="I22" i="16"/>
  <c r="J22" i="16" s="1"/>
  <c r="G10" i="16"/>
  <c r="H10" i="16" s="1"/>
  <c r="L98" i="5"/>
  <c r="H95" i="5"/>
  <c r="C96" i="5"/>
  <c r="C95" i="5"/>
  <c r="C97" i="5"/>
  <c r="H96" i="5"/>
  <c r="C98" i="5"/>
  <c r="H97" i="5"/>
  <c r="L97" i="5"/>
  <c r="L96" i="5"/>
  <c r="K9" i="16"/>
  <c r="R98" i="5" l="1"/>
  <c r="Q59" i="4" s="1"/>
  <c r="R96" i="5"/>
  <c r="Q57" i="4" s="1"/>
  <c r="G23" i="16"/>
  <c r="H23" i="16" s="1"/>
  <c r="I23" i="16"/>
  <c r="J23" i="16" s="1"/>
  <c r="I11" i="16"/>
  <c r="J11" i="16" s="1"/>
  <c r="K11" i="16" s="1"/>
  <c r="G11" i="16"/>
  <c r="H11" i="16" s="1"/>
  <c r="E10" i="16"/>
  <c r="F10" i="16" s="1"/>
  <c r="R97" i="5"/>
  <c r="Q58" i="4" s="1"/>
  <c r="K22" i="16"/>
  <c r="C22" i="16" s="1"/>
  <c r="E22" i="16" s="1"/>
  <c r="C9" i="16"/>
  <c r="E9" i="16" s="1"/>
  <c r="F9" i="16" s="1"/>
  <c r="H99" i="5"/>
  <c r="L99" i="5"/>
  <c r="C99" i="5"/>
  <c r="R95" i="5"/>
  <c r="C11" i="16" l="1"/>
  <c r="E11" i="16" s="1"/>
  <c r="F11" i="16" s="1"/>
  <c r="K23" i="16"/>
  <c r="C23" i="16" s="1"/>
  <c r="M25" i="18"/>
  <c r="J40" i="18"/>
  <c r="F22" i="16"/>
  <c r="J39" i="18"/>
  <c r="N39" i="18" s="1"/>
  <c r="N41" i="18" s="1"/>
  <c r="M27" i="18" s="1"/>
  <c r="R101" i="5"/>
  <c r="R102" i="5" s="1"/>
  <c r="Q56" i="4"/>
  <c r="E23" i="16" l="1"/>
  <c r="F23" i="16" s="1"/>
  <c r="M24" i="18"/>
  <c r="M26" i="18" s="1"/>
  <c r="M28" i="18" s="1"/>
  <c r="R31" i="18" s="1"/>
  <c r="L40" i="18"/>
  <c r="N40" i="18" s="1"/>
  <c r="R103" i="5"/>
  <c r="U10" i="4" s="1"/>
  <c r="U11" i="4" s="1"/>
  <c r="U12" i="4" s="1"/>
  <c r="Q61" i="4" l="1"/>
  <c r="Q62" i="4" s="1"/>
  <c r="L63" i="4" s="1"/>
  <c r="S101" i="5"/>
  <c r="S102" i="5" s="1"/>
  <c r="Q109" i="5" l="1"/>
  <c r="R109" i="5" s="1"/>
  <c r="J109" i="5"/>
  <c r="S103" i="5"/>
  <c r="S109" i="5" l="1"/>
  <c r="O63" i="4"/>
  <c r="N109" i="5"/>
  <c r="N110" i="5" s="1"/>
  <c r="V10" i="4" l="1"/>
  <c r="Q63" i="4"/>
  <c r="Q64" i="4" s="1"/>
  <c r="N112" i="5"/>
  <c r="Q65" i="4" l="1"/>
  <c r="Q66" i="4" s="1"/>
  <c r="Q67" i="4" s="1"/>
  <c r="K129" i="21" s="1"/>
  <c r="V11" i="4"/>
  <c r="V12" i="4" s="1"/>
  <c r="K126" i="21"/>
  <c r="J110" i="5" l="1"/>
  <c r="J112" i="5" s="1"/>
  <c r="K127" i="21"/>
  <c r="K128" i="21" s="1"/>
  <c r="K130" i="21" s="1"/>
  <c r="Q68" i="4"/>
  <c r="B71" i="4" s="1"/>
  <c r="T16" i="4"/>
  <c r="U14" i="4"/>
  <c r="P71" i="4" l="1"/>
  <c r="K27" i="15" s="1"/>
  <c r="H27" i="15"/>
  <c r="D2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2" authorId="0" shapeId="0" xr:uid="{00000000-0006-0000-0300-000001000000}">
      <text>
        <r>
          <rPr>
            <b/>
            <sz val="9"/>
            <color indexed="81"/>
            <rFont val="Tahoma"/>
            <family val="2"/>
          </rPr>
          <t>User:</t>
        </r>
        <r>
          <rPr>
            <sz val="9"/>
            <color indexed="81"/>
            <rFont val="Tahoma"/>
            <family val="2"/>
          </rPr>
          <t xml:space="preserve">
धारा 80DD -विकलांग आश्रितों के चिकित्सा उपचार  (सामान्य 75000,80% से अधिक विकलांगता पर 125000) </t>
        </r>
      </text>
    </comment>
    <comment ref="B22" authorId="0" shapeId="0" xr:uid="{00000000-0006-0000-0300-000002000000}">
      <text>
        <r>
          <rPr>
            <b/>
            <sz val="9"/>
            <color indexed="81"/>
            <rFont val="Tahoma"/>
            <family val="2"/>
          </rPr>
          <t>User:</t>
        </r>
        <r>
          <rPr>
            <sz val="9"/>
            <color indexed="81"/>
            <rFont val="Tahoma"/>
            <family val="2"/>
          </rPr>
          <t xml:space="preserve">
Value of the house should be Rs 50 lakhs or less. Loan taken for the house must be Rs 35 lakhs or less. The loan must be sanctioned by a Financial Institution or a Housing Finance Company. The loan must be sanctioned between 01.04.2016 to 31.03.2017.Maximum limit Rs 50000</t>
        </r>
      </text>
    </comment>
    <comment ref="G22" authorId="0" shapeId="0" xr:uid="{00000000-0006-0000-0300-000003000000}">
      <text>
        <r>
          <rPr>
            <b/>
            <sz val="9"/>
            <color indexed="81"/>
            <rFont val="Tahoma"/>
            <family val="2"/>
          </rPr>
          <t>User:</t>
        </r>
        <r>
          <rPr>
            <sz val="9"/>
            <color indexed="81"/>
            <rFont val="Tahoma"/>
            <family val="2"/>
          </rPr>
          <t xml:space="preserve">
Additional Rs 150000 .The loan must be sanctioned between 01.04.2019 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23" authorId="0" shapeId="0" xr:uid="{00000000-0006-0000-0500-000001000000}">
      <text>
        <r>
          <rPr>
            <b/>
            <sz val="9"/>
            <color indexed="81"/>
            <rFont val="Tahoma"/>
            <family val="2"/>
          </rPr>
          <t>User:</t>
        </r>
        <r>
          <rPr>
            <sz val="9"/>
            <color indexed="81"/>
            <rFont val="Tahoma"/>
            <family val="2"/>
          </rPr>
          <t xml:space="preserve">
If Surrender Leave withdrwal in the period july22 to Sept22 than DA difference 4% deposit in GPF/GPF2004 included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27" authorId="0" shapeId="0" xr:uid="{00000000-0006-0000-0600-000001000000}">
      <text>
        <r>
          <rPr>
            <b/>
            <sz val="9"/>
            <color indexed="81"/>
            <rFont val="Tahoma"/>
            <family val="2"/>
          </rPr>
          <t>User:</t>
        </r>
        <r>
          <rPr>
            <sz val="9"/>
            <color indexed="81"/>
            <rFont val="Tahoma"/>
            <family val="2"/>
          </rPr>
          <t xml:space="preserve">
इस संबंध मे स्पष्ट आदेश केअभाव में यह विकल्प दिया गया है</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HANS RAJ JOSHI</author>
  </authors>
  <commentList>
    <comment ref="R109" authorId="0" shapeId="0" xr:uid="{631D26BF-F1C0-4C9D-BEB4-5C93AE3C090C}">
      <text>
        <r>
          <rPr>
            <b/>
            <sz val="9"/>
            <color indexed="81"/>
            <rFont val="Tahoma"/>
            <family val="2"/>
          </rPr>
          <t>HANS RAJ JOSHI:</t>
        </r>
        <r>
          <rPr>
            <sz val="9"/>
            <color indexed="81"/>
            <rFont val="Tahoma"/>
            <family val="2"/>
          </rPr>
          <t xml:space="preserve">
Income Difference&lt;Tax difference than applied tax difference -income difference is marginal relief</t>
        </r>
      </text>
    </comment>
  </commentList>
</comments>
</file>

<file path=xl/sharedStrings.xml><?xml version="1.0" encoding="utf-8"?>
<sst xmlns="http://schemas.openxmlformats.org/spreadsheetml/2006/main" count="1443" uniqueCount="1019">
  <si>
    <t>EMPLOYEE ID</t>
  </si>
  <si>
    <t>SIP</t>
  </si>
  <si>
    <t>LIC</t>
  </si>
  <si>
    <t>GIS</t>
  </si>
  <si>
    <t>SURRENDER</t>
  </si>
  <si>
    <t>BONUS</t>
  </si>
  <si>
    <t>TOTAL</t>
  </si>
  <si>
    <t>PAN NO</t>
  </si>
  <si>
    <t>uke deZpkjh %</t>
  </si>
  <si>
    <t xml:space="preserve"> in %</t>
  </si>
  <si>
    <t>PAN :</t>
  </si>
  <si>
    <t>#-</t>
  </si>
  <si>
    <r>
      <t>x`g fdjk;k] /kkjk 10¼13&amp;</t>
    </r>
    <r>
      <rPr>
        <sz val="9"/>
        <rFont val="Arial"/>
        <family val="2"/>
      </rPr>
      <t>A</t>
    </r>
    <r>
      <rPr>
        <sz val="12"/>
        <rFont val="DevLys 010"/>
      </rPr>
      <t>½ ds vUrxrZ ,oa /kkjk 10¼14½ds vUrxrZ vU; Hkrs tks dj eqDÙk gSA</t>
    </r>
  </si>
  <si>
    <t xml:space="preserve">                                                              'ks"k ¼2&amp;3½</t>
  </si>
  <si>
    <r>
      <t xml:space="preserve"> ¼</t>
    </r>
    <r>
      <rPr>
        <sz val="12"/>
        <rFont val="Calibri"/>
        <family val="2"/>
        <scheme val="minor"/>
      </rPr>
      <t>i</t>
    </r>
    <r>
      <rPr>
        <sz val="12"/>
        <rFont val="DevLys 010"/>
      </rPr>
      <t>½euksjatu Hkrk /kkjk 16 ¼</t>
    </r>
    <r>
      <rPr>
        <sz val="12"/>
        <rFont val="Arial"/>
        <family val="2"/>
      </rPr>
      <t>ii</t>
    </r>
    <r>
      <rPr>
        <sz val="12"/>
        <rFont val="DevLys 010"/>
      </rPr>
      <t>½ ds vUrxrZ ¼ vf/kdre lhek : 5000 ½</t>
    </r>
  </si>
  <si>
    <r>
      <t xml:space="preserve"> ¼</t>
    </r>
    <r>
      <rPr>
        <sz val="12"/>
        <rFont val="Calibri"/>
        <family val="2"/>
        <scheme val="minor"/>
      </rPr>
      <t>ii</t>
    </r>
    <r>
      <rPr>
        <sz val="12"/>
        <rFont val="DevLys 010"/>
      </rPr>
      <t>½ O;o;k; dj /kkjk 16 ¼</t>
    </r>
    <r>
      <rPr>
        <sz val="12"/>
        <rFont val="Arial"/>
        <family val="2"/>
      </rPr>
      <t>iii</t>
    </r>
    <r>
      <rPr>
        <sz val="12"/>
        <rFont val="DevLys 010"/>
      </rPr>
      <t xml:space="preserve">½ ds vUrxrZ </t>
    </r>
  </si>
  <si>
    <r>
      <t xml:space="preserve"> ¼</t>
    </r>
    <r>
      <rPr>
        <sz val="12"/>
        <rFont val="Calibri"/>
        <family val="2"/>
        <scheme val="minor"/>
      </rPr>
      <t>iiI</t>
    </r>
    <r>
      <rPr>
        <sz val="12"/>
        <rFont val="DevLys 010"/>
      </rPr>
      <t xml:space="preserve">½ LVs.MMZ fMMsD'ku </t>
    </r>
    <r>
      <rPr>
        <sz val="10"/>
        <rFont val="Times New Roman"/>
        <family val="1"/>
      </rPr>
      <t>(Standard Deduction)  5</t>
    </r>
    <r>
      <rPr>
        <sz val="12"/>
        <rFont val="DevLys 010"/>
      </rPr>
      <t>0]000 ¼vf/kdre½</t>
    </r>
  </si>
  <si>
    <t xml:space="preserve">                                                           'ks"k ¼4&amp;5½</t>
  </si>
  <si>
    <t>¼v½x`g lEifr ls vk;%¼1½ Loa; ds mi;ksx esa &amp;'kwU;</t>
  </si>
  <si>
    <t>¼2½ izkIr fdjk;k #-</t>
  </si>
  <si>
    <t xml:space="preserve">¼c½ ?kVk;sa </t>
  </si>
  <si>
    <r>
      <t xml:space="preserve"> fdjk;s dk </t>
    </r>
    <r>
      <rPr>
        <sz val="10"/>
        <rFont val="Calibri"/>
        <family val="2"/>
        <scheme val="minor"/>
      </rPr>
      <t>30%</t>
    </r>
  </si>
  <si>
    <t xml:space="preserve"> x`g _.k ij C;kt</t>
  </si>
  <si>
    <t xml:space="preserve"> x`gdj </t>
  </si>
  <si>
    <t xml:space="preserve">  ;ksx 7¼c½</t>
  </si>
  <si>
    <t xml:space="preserve">                                                          'ks"k &amp;@$¼7¼v½ ,oa ;ksx 7¼c½ dk½  </t>
  </si>
  <si>
    <t xml:space="preserve">                                                             dqy 'ks"k &amp;@$¼6,oa 7½</t>
  </si>
  <si>
    <t>vU; vk;</t>
  </si>
  <si>
    <t>ldy vk;                                                            ;ksx ¼8$9½</t>
  </si>
  <si>
    <r>
      <t>?kVkb;s dVkSSfr;k¡ %&amp; /kkjk</t>
    </r>
    <r>
      <rPr>
        <b/>
        <sz val="12"/>
        <rFont val="Arial"/>
        <family val="2"/>
      </rPr>
      <t xml:space="preserve"> </t>
    </r>
    <r>
      <rPr>
        <b/>
        <sz val="12"/>
        <rFont val="Calibri"/>
        <family val="2"/>
        <scheme val="minor"/>
      </rPr>
      <t xml:space="preserve">US </t>
    </r>
    <r>
      <rPr>
        <b/>
        <sz val="10"/>
        <rFont val="Arial"/>
        <family val="2"/>
      </rPr>
      <t>80C, 80CCC,80CCD (1)</t>
    </r>
  </si>
  <si>
    <r>
      <rPr>
        <sz val="10"/>
        <rFont val="Arial"/>
        <family val="2"/>
      </rPr>
      <t>(A)</t>
    </r>
    <r>
      <rPr>
        <sz val="12"/>
        <rFont val="Arial"/>
        <family val="2"/>
      </rPr>
      <t xml:space="preserve"> </t>
    </r>
    <r>
      <rPr>
        <sz val="12"/>
        <rFont val="DevLys 010"/>
      </rPr>
      <t xml:space="preserve">vf/kdre lhek 1]50]000@&amp; ¼/kkjk </t>
    </r>
    <r>
      <rPr>
        <sz val="10"/>
        <rFont val="Arial"/>
        <family val="2"/>
      </rPr>
      <t>80CCE</t>
    </r>
    <r>
      <rPr>
        <sz val="12"/>
        <rFont val="DevLys 010"/>
      </rPr>
      <t xml:space="preserve"> ½ ] ¼/kkjk </t>
    </r>
    <r>
      <rPr>
        <sz val="10"/>
        <rFont val="Arial"/>
        <family val="2"/>
      </rPr>
      <t>80CCD (2),</t>
    </r>
    <r>
      <rPr>
        <sz val="12"/>
        <rFont val="Arial"/>
        <family val="2"/>
      </rPr>
      <t xml:space="preserve"> </t>
    </r>
    <r>
      <rPr>
        <sz val="12"/>
        <rFont val="DevLys 010"/>
      </rPr>
      <t>ds vykok</t>
    </r>
  </si>
  <si>
    <t>(i)</t>
  </si>
  <si>
    <r>
      <t>jkT; chek ¼</t>
    </r>
    <r>
      <rPr>
        <sz val="12"/>
        <rFont val="Calibri"/>
        <family val="2"/>
        <scheme val="minor"/>
      </rPr>
      <t>SI)</t>
    </r>
  </si>
  <si>
    <t>(x)</t>
  </si>
  <si>
    <r>
      <t xml:space="preserve">ljdkjh isa'ku ;kstuk esa va'knku </t>
    </r>
    <r>
      <rPr>
        <sz val="11"/>
        <rFont val="Calibri"/>
        <family val="2"/>
      </rPr>
      <t>ECPF</t>
    </r>
    <r>
      <rPr>
        <sz val="11"/>
        <rFont val="DevLys 010"/>
      </rPr>
      <t xml:space="preserve">
vf/kdre osru dk 10</t>
    </r>
    <r>
      <rPr>
        <sz val="11"/>
        <rFont val="Arial"/>
        <family val="2"/>
      </rPr>
      <t>%</t>
    </r>
    <r>
      <rPr>
        <sz val="11"/>
        <rFont val="DevLys 010"/>
      </rPr>
      <t>¼/kkjk 80</t>
    </r>
    <r>
      <rPr>
        <sz val="11"/>
        <rFont val="Arial"/>
        <family val="2"/>
      </rPr>
      <t>ccd</t>
    </r>
    <r>
      <rPr>
        <sz val="11"/>
        <rFont val="DevLys 010"/>
      </rPr>
      <t>½</t>
    </r>
  </si>
  <si>
    <t>(ii)</t>
  </si>
  <si>
    <r>
      <t>thou chek izhfe;e ¼</t>
    </r>
    <r>
      <rPr>
        <sz val="12"/>
        <rFont val="Calibri"/>
        <family val="2"/>
        <scheme val="minor"/>
      </rPr>
      <t>LIC)</t>
    </r>
  </si>
  <si>
    <t>(xi)</t>
  </si>
  <si>
    <r>
      <t>isa'ku Iyku gsrq va'knku¼/kkjk 80</t>
    </r>
    <r>
      <rPr>
        <sz val="12"/>
        <rFont val="Arial"/>
        <family val="2"/>
      </rPr>
      <t>ccc</t>
    </r>
    <r>
      <rPr>
        <sz val="12"/>
        <rFont val="DevLys 010"/>
      </rPr>
      <t>½</t>
    </r>
  </si>
  <si>
    <t>(iii)</t>
  </si>
  <si>
    <r>
      <t>jk"Vªh; cpr i= ¼</t>
    </r>
    <r>
      <rPr>
        <sz val="12"/>
        <rFont val="Calibri"/>
        <family val="2"/>
        <scheme val="minor"/>
      </rPr>
      <t>NSC)</t>
    </r>
  </si>
  <si>
    <t>(xii)</t>
  </si>
  <si>
    <t>jk"Vªh; cpr i= ij vnr C;kt</t>
  </si>
  <si>
    <t>(iv)</t>
  </si>
  <si>
    <r>
      <t>yksd Hkfo"; fuf/k ¼</t>
    </r>
    <r>
      <rPr>
        <sz val="12"/>
        <rFont val="Calibri"/>
        <family val="2"/>
        <scheme val="minor"/>
      </rPr>
      <t>PPF)</t>
    </r>
  </si>
  <si>
    <t>(xiii)</t>
  </si>
  <si>
    <t xml:space="preserve">V;w'ku Qhl </t>
  </si>
  <si>
    <t>(v)</t>
  </si>
  <si>
    <t>(xiv)</t>
  </si>
  <si>
    <t>bfDoVh fyad lsfoax Ldhe</t>
  </si>
  <si>
    <t>(vi)</t>
  </si>
  <si>
    <t>(xv)</t>
  </si>
  <si>
    <r>
      <t>LFkfxr okf"kZdh ¼</t>
    </r>
    <r>
      <rPr>
        <sz val="10"/>
        <rFont val="Calibri"/>
        <family val="2"/>
        <scheme val="minor"/>
      </rPr>
      <t>Defferred Annuty)</t>
    </r>
  </si>
  <si>
    <t>(vii)</t>
  </si>
  <si>
    <r>
      <t>lkewfgd chek izhfe;e ¼</t>
    </r>
    <r>
      <rPr>
        <sz val="12"/>
        <rFont val="Calibri"/>
        <family val="2"/>
        <scheme val="minor"/>
      </rPr>
      <t>G.Ins.)</t>
    </r>
  </si>
  <si>
    <t>(xvi)</t>
  </si>
  <si>
    <r>
      <t xml:space="preserve">ih-,y-vkbZ- </t>
    </r>
    <r>
      <rPr>
        <sz val="10"/>
        <rFont val="DevLys 010"/>
      </rPr>
      <t>¼</t>
    </r>
    <r>
      <rPr>
        <sz val="10"/>
        <rFont val="Calibri"/>
        <family val="2"/>
        <scheme val="minor"/>
      </rPr>
      <t>PLI)</t>
    </r>
  </si>
  <si>
    <t>(viii)</t>
  </si>
  <si>
    <t>;w- ,y- vkbZ- ih-@okf"kZd Iyku</t>
  </si>
  <si>
    <t>(xvii)</t>
  </si>
  <si>
    <t>vU; tekjkf'k ¼/kkjk 80 lh ds vUrxZr½</t>
  </si>
  <si>
    <t>(ix)</t>
  </si>
  <si>
    <r>
      <t xml:space="preserve">x`g _.k fdLr </t>
    </r>
    <r>
      <rPr>
        <sz val="10"/>
        <rFont val="DevLys 010"/>
      </rPr>
      <t>¼</t>
    </r>
    <r>
      <rPr>
        <sz val="10"/>
        <rFont val="Calibri"/>
        <family val="2"/>
        <scheme val="minor"/>
      </rPr>
      <t>HBA Premium)</t>
    </r>
  </si>
  <si>
    <t>(xviii)</t>
  </si>
  <si>
    <t>lqdU;k le`f) ;kstuk esa tek jkf'k</t>
  </si>
  <si>
    <r>
      <rPr>
        <b/>
        <sz val="12"/>
        <rFont val="DevLys 010"/>
      </rPr>
      <t>;ksx</t>
    </r>
    <r>
      <rPr>
        <b/>
        <sz val="12"/>
        <rFont val="Times New Roman"/>
        <family val="1"/>
      </rPr>
      <t xml:space="preserve"> ( i </t>
    </r>
    <r>
      <rPr>
        <b/>
        <sz val="12"/>
        <rFont val="DevLys 010"/>
      </rPr>
      <t>ls</t>
    </r>
    <r>
      <rPr>
        <b/>
        <sz val="12"/>
        <rFont val="Times New Roman"/>
        <family val="1"/>
      </rPr>
      <t xml:space="preserve"> xviii )</t>
    </r>
  </si>
  <si>
    <t xml:space="preserve">                        vf/kdre dVkSrh dh jkf'k 1-50 yk[k #i, rd</t>
  </si>
  <si>
    <r>
      <rPr>
        <sz val="10"/>
        <rFont val="Arial"/>
        <family val="2"/>
      </rPr>
      <t>(B)</t>
    </r>
    <r>
      <rPr>
        <sz val="12"/>
        <rFont val="Arial"/>
        <family val="2"/>
      </rPr>
      <t xml:space="preserve"> </t>
    </r>
    <r>
      <rPr>
        <sz val="12"/>
        <rFont val="DevLys 010"/>
      </rPr>
      <t xml:space="preserve">?kVkb;s&amp; /kkjk </t>
    </r>
    <r>
      <rPr>
        <sz val="10"/>
        <rFont val="Calibri"/>
        <family val="2"/>
        <scheme val="minor"/>
      </rPr>
      <t>80CCD(2)</t>
    </r>
    <r>
      <rPr>
        <sz val="12"/>
        <rFont val="DevLys 010"/>
      </rPr>
      <t xml:space="preserve"> fu;ksDrk }kjk isa'ku va'knku dh jkf'k ¼vf/kdre osru dk 10</t>
    </r>
    <r>
      <rPr>
        <sz val="9"/>
        <rFont val="Arial"/>
        <family val="2"/>
      </rPr>
      <t>%</t>
    </r>
    <r>
      <rPr>
        <sz val="12"/>
        <rFont val="Arial"/>
        <family val="2"/>
      </rPr>
      <t xml:space="preserve">) </t>
    </r>
    <r>
      <rPr>
        <sz val="12"/>
        <rFont val="DevLys 010"/>
      </rPr>
      <t>i`Fkd ls NwV</t>
    </r>
  </si>
  <si>
    <r>
      <rPr>
        <sz val="10"/>
        <rFont val="Arial"/>
        <family val="2"/>
      </rPr>
      <t>(C)</t>
    </r>
    <r>
      <rPr>
        <sz val="12"/>
        <rFont val="Arial"/>
        <family val="2"/>
      </rPr>
      <t xml:space="preserve"> </t>
    </r>
    <r>
      <rPr>
        <sz val="12"/>
        <rFont val="DevLys 010"/>
      </rPr>
      <t>?kVkb;s &amp; /kkjk</t>
    </r>
    <r>
      <rPr>
        <sz val="12"/>
        <rFont val="Calibri"/>
        <family val="2"/>
        <scheme val="minor"/>
      </rPr>
      <t xml:space="preserve"> </t>
    </r>
    <r>
      <rPr>
        <sz val="10"/>
        <rFont val="Calibri"/>
        <family val="2"/>
        <scheme val="minor"/>
      </rPr>
      <t>80CCD (1B)</t>
    </r>
    <r>
      <rPr>
        <sz val="12"/>
        <rFont val="Arial"/>
        <family val="2"/>
      </rPr>
      <t xml:space="preserve"> </t>
    </r>
    <r>
      <rPr>
        <sz val="12"/>
        <rFont val="DevLys 010"/>
      </rPr>
      <t>uohu isa'ku ;kstuk esa vfrfjDr va'knku ¼vf/kdre :- 50]000</t>
    </r>
    <r>
      <rPr>
        <sz val="12"/>
        <rFont val="Arial"/>
        <family val="2"/>
      </rPr>
      <t>)</t>
    </r>
  </si>
  <si>
    <r>
      <t xml:space="preserve">;ksx </t>
    </r>
    <r>
      <rPr>
        <sz val="10"/>
        <rFont val="Arial"/>
        <family val="2"/>
      </rPr>
      <t>11(A+B+C)</t>
    </r>
    <r>
      <rPr>
        <sz val="12"/>
        <rFont val="Arial"/>
        <family val="2"/>
      </rPr>
      <t xml:space="preserve">      </t>
    </r>
  </si>
  <si>
    <t xml:space="preserve"> vU; dVkSfr;k¡</t>
  </si>
  <si>
    <r>
      <t xml:space="preserve">1-/kkjk </t>
    </r>
    <r>
      <rPr>
        <sz val="10"/>
        <rFont val="Calibri"/>
        <family val="2"/>
        <scheme val="minor"/>
      </rPr>
      <t>80 D</t>
    </r>
    <r>
      <rPr>
        <sz val="12"/>
        <rFont val="Arial"/>
        <family val="2"/>
      </rPr>
      <t xml:space="preserve"> ,</t>
    </r>
    <r>
      <rPr>
        <sz val="12"/>
        <rFont val="DevLys 010"/>
      </rPr>
      <t xml:space="preserve">fpfdRlk chek izhfe;e </t>
    </r>
    <r>
      <rPr>
        <sz val="9"/>
        <rFont val="DevLys 010"/>
      </rPr>
      <t>¼Lo;a]ifr@iRuh o cPpksa ds fy, : 25000] ekrk&amp;firk ds fy, : 25000]lhfu;j flVhtu : 50000½</t>
    </r>
  </si>
  <si>
    <r>
      <t xml:space="preserve">2- /kkjk </t>
    </r>
    <r>
      <rPr>
        <sz val="10"/>
        <rFont val="Calibri"/>
        <family val="2"/>
        <scheme val="minor"/>
      </rPr>
      <t>80DD</t>
    </r>
    <r>
      <rPr>
        <sz val="12"/>
        <rFont val="Arial"/>
        <family val="2"/>
      </rPr>
      <t xml:space="preserve"> </t>
    </r>
    <r>
      <rPr>
        <sz val="12"/>
        <rFont val="DevLys 010"/>
      </rPr>
      <t xml:space="preserve">fodykax vkfJrksa ds fpfdRlk mipkj </t>
    </r>
    <r>
      <rPr>
        <sz val="11"/>
        <rFont val="DevLys 010"/>
      </rPr>
      <t xml:space="preserve">¼vf/kdre 75]000 rFkk </t>
    </r>
    <r>
      <rPr>
        <sz val="10"/>
        <rFont val="Times New Roman"/>
        <family val="1"/>
      </rPr>
      <t>80%</t>
    </r>
    <r>
      <rPr>
        <sz val="11"/>
        <rFont val="Times New Roman"/>
        <family val="1"/>
      </rPr>
      <t xml:space="preserve"> </t>
    </r>
    <r>
      <rPr>
        <sz val="11"/>
        <rFont val="DevLys 010"/>
      </rPr>
      <t>;k vf/kd fodykaxrk 125]000½</t>
    </r>
  </si>
  <si>
    <r>
      <t xml:space="preserve">4- /kkjk </t>
    </r>
    <r>
      <rPr>
        <sz val="10"/>
        <rFont val="Calibri"/>
        <family val="2"/>
        <scheme val="minor"/>
      </rPr>
      <t>80E</t>
    </r>
    <r>
      <rPr>
        <sz val="12"/>
        <rFont val="Arial"/>
        <family val="2"/>
      </rPr>
      <t xml:space="preserve"> </t>
    </r>
    <r>
      <rPr>
        <sz val="12"/>
        <rFont val="DevLys 010"/>
      </rPr>
      <t>mPp f'k{kk gsrq fy, _.k dk C;kt</t>
    </r>
  </si>
  <si>
    <r>
      <t xml:space="preserve">5- /kkjk </t>
    </r>
    <r>
      <rPr>
        <sz val="10"/>
        <rFont val="Calibri"/>
        <family val="2"/>
        <scheme val="minor"/>
      </rPr>
      <t>80G</t>
    </r>
    <r>
      <rPr>
        <sz val="12"/>
        <rFont val="DevLys 010"/>
      </rPr>
      <t xml:space="preserve"> /kekZFkZ laLFkkvksa vkfn dks fn;s nku </t>
    </r>
    <r>
      <rPr>
        <sz val="11"/>
        <rFont val="DevLys 010"/>
      </rPr>
      <t>¼ d Js.kh esa 100 izfr'kr ,oa [k Js.kh esa 50 izfr'kr½</t>
    </r>
  </si>
  <si>
    <r>
      <t xml:space="preserve">6- /kkjk </t>
    </r>
    <r>
      <rPr>
        <sz val="10"/>
        <rFont val="Calibri"/>
        <family val="2"/>
        <scheme val="minor"/>
      </rPr>
      <t>80U</t>
    </r>
    <r>
      <rPr>
        <sz val="12"/>
        <rFont val="DevLys 010"/>
      </rPr>
      <t xml:space="preserve"> LFkkbZ :i ls 'kkjhfjd vleFkZrrk dh n'kk esa </t>
    </r>
    <r>
      <rPr>
        <sz val="10"/>
        <rFont val="DevLys 010"/>
      </rPr>
      <t>¼vf/kdre 75]000 rFkk  vf/kfu;e 1995ds vuqlkj 125]000½</t>
    </r>
  </si>
  <si>
    <r>
      <t xml:space="preserve">dj ;ksX; vk; </t>
    </r>
    <r>
      <rPr>
        <sz val="10"/>
        <rFont val="Arial"/>
        <family val="2"/>
      </rPr>
      <t>( 10 - 13 )</t>
    </r>
  </si>
  <si>
    <r>
      <t xml:space="preserve">dqy vk; dh jkf'k dks lEiw.kZ djuk ¼ nl ds xq.kd esa ½ /kkjk </t>
    </r>
    <r>
      <rPr>
        <b/>
        <sz val="11"/>
        <rFont val="Calibri"/>
        <family val="2"/>
        <scheme val="minor"/>
      </rPr>
      <t>288A</t>
    </r>
  </si>
  <si>
    <t>,d O;fDr dj nkrk</t>
  </si>
  <si>
    <t>ofj"B ukxfjd ¼60 ls 80 o"kZ rd½</t>
  </si>
  <si>
    <t>80 o"kZ ;k vf/kd vk;q</t>
  </si>
  <si>
    <t>Nil</t>
  </si>
  <si>
    <t>2,50,001-5,00,000</t>
  </si>
  <si>
    <t>3,00,001-5,00,000</t>
  </si>
  <si>
    <r>
      <t xml:space="preserve">5,00,000 </t>
    </r>
    <r>
      <rPr>
        <sz val="12"/>
        <rFont val="DevLys 010"/>
      </rPr>
      <t>rd</t>
    </r>
  </si>
  <si>
    <t>5,00,001-10,00,000</t>
  </si>
  <si>
    <r>
      <rPr>
        <b/>
        <sz val="12"/>
        <rFont val="DevLys 010"/>
      </rPr>
      <t>¼2½</t>
    </r>
    <r>
      <rPr>
        <sz val="12"/>
        <rFont val="DevLys 010"/>
      </rPr>
      <t xml:space="preserve"> NwV ?kkjk 87¼</t>
    </r>
    <r>
      <rPr>
        <sz val="10"/>
        <rFont val="Calibri"/>
        <family val="2"/>
        <scheme val="minor"/>
      </rPr>
      <t>A</t>
    </r>
    <r>
      <rPr>
        <sz val="12"/>
        <rFont val="DevLys 010"/>
      </rPr>
      <t>½ ¼2-50 yk[k ls 5-00 yk[k rd dh dj ;ksX; vk; ij vk;dj dh NwV vf/kdre :- 12500 rd½</t>
    </r>
  </si>
  <si>
    <t>TAN NO</t>
  </si>
  <si>
    <t>GENERAL INFORMATION</t>
  </si>
  <si>
    <t>TAX DEDUCTOR'S DESIGNATION</t>
  </si>
  <si>
    <t>TAX DEDUCTOR'S OFFICE ADDRESS</t>
  </si>
  <si>
    <t>JAIPUR(U)</t>
  </si>
  <si>
    <t>JODHPUR</t>
  </si>
  <si>
    <t>AJMER</t>
  </si>
  <si>
    <t>BIKANER</t>
  </si>
  <si>
    <t>KOTA</t>
  </si>
  <si>
    <t>CCA</t>
  </si>
  <si>
    <t>Bonus</t>
  </si>
  <si>
    <t>Bonus months</t>
  </si>
  <si>
    <t>ACP MONTH</t>
  </si>
  <si>
    <t>HRA exemption</t>
  </si>
  <si>
    <t>CPF</t>
  </si>
  <si>
    <t>Salary</t>
  </si>
  <si>
    <t>HRA</t>
  </si>
  <si>
    <t>March</t>
  </si>
  <si>
    <t>April</t>
  </si>
  <si>
    <t>May</t>
  </si>
  <si>
    <t>HRA rent receipt req</t>
  </si>
  <si>
    <t>march</t>
  </si>
  <si>
    <t>april</t>
  </si>
  <si>
    <t>may</t>
  </si>
  <si>
    <t>june</t>
  </si>
  <si>
    <t>july</t>
  </si>
  <si>
    <t>august</t>
  </si>
  <si>
    <t>september</t>
  </si>
  <si>
    <t>october</t>
  </si>
  <si>
    <t>november</t>
  </si>
  <si>
    <t>december</t>
  </si>
  <si>
    <t>january</t>
  </si>
  <si>
    <t>february</t>
  </si>
  <si>
    <t>Month</t>
  </si>
  <si>
    <t>DA</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</si>
  <si>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</si>
  <si>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</si>
  <si>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</si>
  <si>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</si>
  <si>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</si>
  <si>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</si>
  <si>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</si>
  <si>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</si>
  <si>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</si>
  <si>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</si>
  <si>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</si>
  <si>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</si>
  <si>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</si>
  <si>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</si>
  <si>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</si>
  <si>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</si>
  <si>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</si>
  <si>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</si>
  <si>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</si>
  <si>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</si>
  <si>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</si>
  <si>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</si>
  <si>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</si>
  <si>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</si>
  <si>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SI PREMIUM FROM SALARY</t>
  </si>
  <si>
    <t>PAY RANGE</t>
  </si>
  <si>
    <t>UPTO 22000</t>
  </si>
  <si>
    <t>22001 TO 28500</t>
  </si>
  <si>
    <t>28501TO 46500</t>
  </si>
  <si>
    <t>46501 TO 72000</t>
  </si>
  <si>
    <t>ABOVE 72000</t>
  </si>
  <si>
    <t>MAXIMUM</t>
  </si>
  <si>
    <t>UP TO   18000</t>
  </si>
  <si>
    <t>18001 TO 33500</t>
  </si>
  <si>
    <t>33501 TO 54000</t>
  </si>
  <si>
    <t>54001 &amp; ABOVE</t>
  </si>
  <si>
    <t>DA ARREAR</t>
  </si>
  <si>
    <t>CASH</t>
  </si>
  <si>
    <t>MONTH</t>
  </si>
  <si>
    <t>PAY</t>
  </si>
  <si>
    <r>
      <t xml:space="preserve">3- /kkjk </t>
    </r>
    <r>
      <rPr>
        <sz val="10"/>
        <rFont val="Calibri"/>
        <family val="2"/>
        <scheme val="minor"/>
      </rPr>
      <t>80DDB</t>
    </r>
    <r>
      <rPr>
        <sz val="12"/>
        <rFont val="Arial"/>
        <family val="2"/>
      </rPr>
      <t xml:space="preserve"> </t>
    </r>
    <r>
      <rPr>
        <sz val="12"/>
        <rFont val="DevLys 010"/>
      </rPr>
      <t xml:space="preserve">fof'k"V jksaxksa ds mipkj gsrq dVkSrh </t>
    </r>
    <r>
      <rPr>
        <sz val="10"/>
        <rFont val="DevLys 010"/>
      </rPr>
      <t>¼vf/kdre : 40]000] lhfu;j flVhtu gsrq : 100]000½</t>
    </r>
  </si>
  <si>
    <r>
      <t xml:space="preserve">2,50,000 </t>
    </r>
    <r>
      <rPr>
        <sz val="9"/>
        <rFont val="DevLys 010"/>
      </rPr>
      <t>rd</t>
    </r>
  </si>
  <si>
    <r>
      <t>10,00,000</t>
    </r>
    <r>
      <rPr>
        <sz val="9"/>
        <rFont val="DevLys 010"/>
      </rPr>
      <t xml:space="preserve"> ls vf/kd</t>
    </r>
  </si>
  <si>
    <t xml:space="preserve"> Above 15,00,000</t>
  </si>
  <si>
    <t>NEW REGIME</t>
  </si>
  <si>
    <t>OLD REGIME</t>
  </si>
  <si>
    <t>OLD</t>
  </si>
  <si>
    <t>NEW</t>
  </si>
  <si>
    <t>AMOUNT</t>
  </si>
  <si>
    <t>2.NEW REGIME</t>
  </si>
  <si>
    <t>1.OLD REGIME</t>
  </si>
  <si>
    <t>TOTAL TAX</t>
  </si>
  <si>
    <t>COMPARISION</t>
  </si>
  <si>
    <t>TAX</t>
  </si>
  <si>
    <t>CESS 4%</t>
  </si>
  <si>
    <t>NET TAX</t>
  </si>
  <si>
    <t>DIFFERENCE</t>
  </si>
  <si>
    <t>Master Sheet</t>
  </si>
  <si>
    <t>IV</t>
  </si>
  <si>
    <t>GROSS SALARY</t>
  </si>
  <si>
    <t>Amount</t>
  </si>
  <si>
    <t>Rent paid ( Annual )-10% of Salary received ( Basic + DA )</t>
  </si>
  <si>
    <t>HRA RECEIVED</t>
  </si>
  <si>
    <t>RENT PAID ANNUALY</t>
  </si>
  <si>
    <t>A</t>
  </si>
  <si>
    <t>B</t>
  </si>
  <si>
    <t>प्राप्त मकान किराया भत्ता (HRA)</t>
  </si>
  <si>
    <t>10% of SALARY(PAY+DA)</t>
  </si>
  <si>
    <t xml:space="preserve">वेतन (मूल +मंहगाई भत्ता ) के 10% से अधिक मकान किराया  भुगतान की राशि </t>
  </si>
  <si>
    <t>PARTIALY HRA</t>
  </si>
  <si>
    <t>MONTHS</t>
  </si>
  <si>
    <t>PAY+DA</t>
  </si>
  <si>
    <t>YES</t>
  </si>
  <si>
    <t>"YES"/NO</t>
  </si>
  <si>
    <t>HRA EXEMPTION CALCULATOR</t>
  </si>
  <si>
    <t xml:space="preserve">मकान किराया का वास्तविक भुगतान </t>
  </si>
  <si>
    <t xml:space="preserve">HRA exempted from income tax </t>
  </si>
  <si>
    <t>Details</t>
  </si>
  <si>
    <t>IF YOU ARE NOT ELIGIBLE TO GET HRA EXEMPTION FOR COMPLETE YEAR THEN CHOOSE PARTIALLY HRA "YES" FROM DROPDOWN</t>
  </si>
  <si>
    <t>Arrear 1</t>
  </si>
  <si>
    <t>Arrear 2</t>
  </si>
  <si>
    <t xml:space="preserve">मनोरंजन भत्ता धारा 16(iii) के अंतर्गत </t>
  </si>
  <si>
    <t xml:space="preserve">व्यवसाय कर धारा 16(iii) के अंतर्गत </t>
  </si>
  <si>
    <t>Rent receipt required for max. HRA exemption</t>
  </si>
  <si>
    <t xml:space="preserve">यदि आपको चालू वित्त वर्ष में कोई Arrear मिला है तो Arrear 1/Arrear 2 में दर्ज करें </t>
  </si>
  <si>
    <t xml:space="preserve">राशि </t>
  </si>
  <si>
    <t>TDS</t>
  </si>
  <si>
    <t>NAME OF EMPLOYEE</t>
  </si>
  <si>
    <r>
      <t xml:space="preserve">8- /kkjk </t>
    </r>
    <r>
      <rPr>
        <sz val="10"/>
        <rFont val="Calibri"/>
        <family val="2"/>
        <scheme val="minor"/>
      </rPr>
      <t>80 TTB</t>
    </r>
    <r>
      <rPr>
        <sz val="12"/>
        <rFont val="DevLys 010"/>
      </rPr>
      <t xml:space="preserve"> ofj"B ukxfjdksa dks lHkh C;kt ij vf/kdre 50000:- /kkjk</t>
    </r>
    <r>
      <rPr>
        <sz val="10"/>
        <rFont val="Calibri"/>
        <family val="2"/>
        <scheme val="minor"/>
      </rPr>
      <t>194(IA)</t>
    </r>
  </si>
  <si>
    <r>
      <t xml:space="preserve">9- /kkjk </t>
    </r>
    <r>
      <rPr>
        <sz val="10"/>
        <rFont val="Calibri"/>
        <family val="2"/>
        <scheme val="minor"/>
      </rPr>
      <t>80 GGA</t>
    </r>
    <r>
      <rPr>
        <sz val="12"/>
        <rFont val="DevLys 010"/>
      </rPr>
      <t xml:space="preserve"> vuqeksfnr oSKkfud] lkekftd] xzkeh.k fodkl vkfn gsrq fn;k x;k nku</t>
    </r>
  </si>
  <si>
    <t>cpr [kkrs ij C;kt</t>
  </si>
  <si>
    <r>
      <t xml:space="preserve">/kkjk </t>
    </r>
    <r>
      <rPr>
        <sz val="10"/>
        <rFont val="Calibri"/>
        <family val="2"/>
        <scheme val="minor"/>
      </rPr>
      <t>80E</t>
    </r>
    <r>
      <rPr>
        <sz val="12"/>
        <rFont val="Arial"/>
        <family val="2"/>
      </rPr>
      <t xml:space="preserve"> </t>
    </r>
    <r>
      <rPr>
        <sz val="12"/>
        <rFont val="DevLys 010"/>
      </rPr>
      <t>mPp f'k{kk gsrq fy, _.k dk C;kt</t>
    </r>
  </si>
  <si>
    <r>
      <t xml:space="preserve">/kkjk </t>
    </r>
    <r>
      <rPr>
        <sz val="10"/>
        <rFont val="Calibri"/>
        <family val="2"/>
        <scheme val="minor"/>
      </rPr>
      <t>80G</t>
    </r>
    <r>
      <rPr>
        <sz val="12"/>
        <rFont val="DevLys 010"/>
      </rPr>
      <t xml:space="preserve"> /kekZFkZ laLFkkvksa vkfn dks fn;s nku </t>
    </r>
    <r>
      <rPr>
        <sz val="11"/>
        <rFont val="DevLys 010"/>
      </rPr>
      <t>¼ d Js.kh esa 100 izfr'kr ,oa [k Js.kh esa 50 izfr'kr½</t>
    </r>
  </si>
  <si>
    <r>
      <t xml:space="preserve">/kkjk </t>
    </r>
    <r>
      <rPr>
        <sz val="10"/>
        <rFont val="Calibri"/>
        <family val="2"/>
        <scheme val="minor"/>
      </rPr>
      <t>80U</t>
    </r>
    <r>
      <rPr>
        <sz val="12"/>
        <rFont val="DevLys 010"/>
      </rPr>
      <t xml:space="preserve"> LFkkbZ :i ls 'kkjhfjd vleFkZrrk dh n'kk esa </t>
    </r>
    <r>
      <rPr>
        <sz val="10"/>
        <rFont val="DevLys 010"/>
      </rPr>
      <t>¼vf/kdre 75]000 rFkk  vf/kfu;e 1995ds vuqlkj 125]000½</t>
    </r>
  </si>
  <si>
    <r>
      <t xml:space="preserve">/kkjk </t>
    </r>
    <r>
      <rPr>
        <sz val="10"/>
        <rFont val="Calibri"/>
        <family val="2"/>
        <scheme val="minor"/>
      </rPr>
      <t>80DDB</t>
    </r>
    <r>
      <rPr>
        <sz val="12"/>
        <rFont val="Arial"/>
        <family val="2"/>
      </rPr>
      <t xml:space="preserve"> </t>
    </r>
    <r>
      <rPr>
        <sz val="12"/>
        <rFont val="DevLys 010"/>
      </rPr>
      <t xml:space="preserve">fof'k"V jksaxksa ds mipkj gsrq dVkSrh </t>
    </r>
    <r>
      <rPr>
        <sz val="10"/>
        <rFont val="DevLys 010"/>
      </rPr>
      <t>¼vf/kdre : 40]000] lhfu;j flVhtu gsrq : 100]000½</t>
    </r>
  </si>
  <si>
    <r>
      <t xml:space="preserve">/kkjk </t>
    </r>
    <r>
      <rPr>
        <sz val="10"/>
        <rFont val="Calibri"/>
        <family val="2"/>
        <scheme val="minor"/>
      </rPr>
      <t>80 TTA</t>
    </r>
    <r>
      <rPr>
        <sz val="12"/>
        <rFont val="DevLys 010"/>
      </rPr>
      <t xml:space="preserve"> cpr [kkrs ij vf/kdre C;kt :- 10]000 </t>
    </r>
    <r>
      <rPr>
        <sz val="10"/>
        <rFont val="Calibri"/>
        <family val="2"/>
        <scheme val="minor"/>
      </rPr>
      <t>194(IA)</t>
    </r>
  </si>
  <si>
    <r>
      <t xml:space="preserve">/kkjk </t>
    </r>
    <r>
      <rPr>
        <sz val="10"/>
        <rFont val="Calibri"/>
        <family val="2"/>
        <scheme val="minor"/>
      </rPr>
      <t>80 TTB</t>
    </r>
    <r>
      <rPr>
        <sz val="12"/>
        <rFont val="DevLys 010"/>
      </rPr>
      <t xml:space="preserve"> ofj"B ukxfjdksa dks lHkh C;kt ij vf/kdre 50000:- /kkjk</t>
    </r>
    <r>
      <rPr>
        <sz val="10"/>
        <rFont val="Calibri"/>
        <family val="2"/>
        <scheme val="minor"/>
      </rPr>
      <t>194(IA)</t>
    </r>
  </si>
  <si>
    <r>
      <t xml:space="preserve">/kkjk </t>
    </r>
    <r>
      <rPr>
        <sz val="10"/>
        <rFont val="Calibri"/>
        <family val="2"/>
        <scheme val="minor"/>
      </rPr>
      <t>80 GGA</t>
    </r>
    <r>
      <rPr>
        <sz val="12"/>
        <rFont val="DevLys 010"/>
      </rPr>
      <t xml:space="preserve"> vuqeksfnr oSKkfud] lkekftd] xzkeh.k fodkl vkfn gsrq fn;k x;k nku</t>
    </r>
  </si>
  <si>
    <r>
      <t xml:space="preserve">7- /kkjk </t>
    </r>
    <r>
      <rPr>
        <sz val="10"/>
        <rFont val="Calibri"/>
        <family val="2"/>
        <scheme val="minor"/>
      </rPr>
      <t>80 TTA</t>
    </r>
    <r>
      <rPr>
        <sz val="12"/>
        <rFont val="DevLys 010"/>
      </rPr>
      <t xml:space="preserve"> cpr [kkrs ij vf/kdre C;kt :- 10]000 </t>
    </r>
    <r>
      <rPr>
        <sz val="10"/>
        <rFont val="Calibri"/>
        <family val="2"/>
        <scheme val="minor"/>
      </rPr>
      <t xml:space="preserve">194(IA) </t>
    </r>
  </si>
  <si>
    <t>Total</t>
  </si>
  <si>
    <t>Mobile No</t>
  </si>
  <si>
    <t>C</t>
  </si>
  <si>
    <t>40% OF PAY</t>
  </si>
  <si>
    <t>वेतन (PAY+DA)</t>
  </si>
  <si>
    <r>
      <t>HRA exemption amount from Income Tax(</t>
    </r>
    <r>
      <rPr>
        <sz val="11"/>
        <color rgb="FF800000"/>
        <rFont val="Times New Roman"/>
        <family val="1"/>
      </rPr>
      <t>Minimum amongA,B,C</t>
    </r>
    <r>
      <rPr>
        <sz val="14"/>
        <color rgb="FF800000"/>
        <rFont val="Times New Roman"/>
        <family val="1"/>
      </rPr>
      <t>)</t>
    </r>
  </si>
  <si>
    <t>arrear1</t>
  </si>
  <si>
    <t>arrear2</t>
  </si>
  <si>
    <t>GPF LOAN</t>
  </si>
  <si>
    <t>SI LOAN</t>
  </si>
  <si>
    <t>&gt;23100</t>
  </si>
  <si>
    <t>&lt;=23100</t>
  </si>
  <si>
    <t>CITY</t>
  </si>
  <si>
    <t>Disclaimer: -</t>
  </si>
  <si>
    <t>All care has been taken to keep the information upto date and correct and is for educational purpose only. You are encouraged to consult your Accountant or Advisor before taking any decesion based on this calculator</t>
  </si>
  <si>
    <t xml:space="preserve">4. HRA SHEET </t>
  </si>
  <si>
    <t>आप ने यदि NSC में निवेश कर रखा है तो प्र्तिवर्ष अर्जित ब्याज की गणना के लिए इस शीट का प्रयोग कर सकते है।आप ने जिस अवधि में NSC खरीदा है उसके सबंधित कॉलम में जिस अवधि का ब्याज गणना करना चाहते है NSC की राशि लिखे ।समस्त ब्याज का योग N15 cell मे Auto generate हो जाएगी जिसकी प्रविष्टि Data Entry Sheet में D40 cell में करे।</t>
  </si>
  <si>
    <t>DEDUCTIONS</t>
  </si>
  <si>
    <t>Gross Salary</t>
  </si>
  <si>
    <t xml:space="preserve"> बचत खाते  की जमाराशि पर अर्जित ब्याज धारा (80TTA )  </t>
  </si>
  <si>
    <t xml:space="preserve"> गृह सम्पति से आय - किराया </t>
  </si>
  <si>
    <t xml:space="preserve"> गृह कर  </t>
  </si>
  <si>
    <t xml:space="preserve"> गृह ऋण ब्याज  (जो वेतन से नहीं काटा गया )</t>
  </si>
  <si>
    <t xml:space="preserve"> गृह ऋण मूल (जो वेतन से नहीं काटा गया )</t>
  </si>
  <si>
    <t xml:space="preserve"> जीवन बीमा प्रीमियम -LIC (जो वेतन से नहीं काटा गया )</t>
  </si>
  <si>
    <t xml:space="preserve"> पी.एल.आई . (PLI )</t>
  </si>
  <si>
    <t>ट्यूशन फीस  (Tution Fees)</t>
  </si>
  <si>
    <t xml:space="preserve">ULIP/वार्षिक प्लान </t>
  </si>
  <si>
    <t>राष्ट्रीय बचत पत्र  (NSC)</t>
  </si>
  <si>
    <t xml:space="preserve">राष्ट्रीय बचत पत्र  (NSC) से प्राप्त ब्याज </t>
  </si>
  <si>
    <t xml:space="preserve">लोक भविष्य निधि (PPF) में निवेश </t>
  </si>
  <si>
    <t xml:space="preserve">सुकन्या समृद्धि योजना  में जमा  </t>
  </si>
  <si>
    <t>अन्य स्रोत से आय (FD पर ब्याज इत्यादि समस्त अन्य आय का योग )</t>
  </si>
  <si>
    <t xml:space="preserve">धारा 80 CCC के अंतर्गत-पेंशन प्लान हेतु अंशदान (एनपीएस के अलावा ) </t>
  </si>
  <si>
    <t xml:space="preserve"> धारा 80E - उच्च शिक्षा हेतु ऋण का  ब्याज </t>
  </si>
  <si>
    <t>धारा 80G -धर्मार्थ संस्थाओं को दिये दान</t>
  </si>
  <si>
    <t>योग</t>
  </si>
  <si>
    <t>श्रेणी  100%</t>
  </si>
  <si>
    <t>श्रेणी - 50%</t>
  </si>
  <si>
    <t>OFFICE</t>
  </si>
  <si>
    <t xml:space="preserve">धारा 80 GGA -अनुमोदित वैज्ञानिक ,सामाजिक ग्रामीण विकास हेतु दिया गया दान </t>
  </si>
  <si>
    <t xml:space="preserve">इक्विटी लिंक सविंग स्कीम में निवेश </t>
  </si>
  <si>
    <t xml:space="preserve">स्थगित वार्षिकी </t>
  </si>
  <si>
    <t xml:space="preserve">धारा 89 के तहत राहत </t>
  </si>
  <si>
    <t>वेतन बिल के अलावा जमा कराया गया TDS</t>
  </si>
  <si>
    <t>Designation</t>
  </si>
  <si>
    <t>k</t>
  </si>
  <si>
    <r>
      <t xml:space="preserve">                  Brief detail of Information and RULES for(Rates,Deductions,Exemption etc.)                                                                       </t>
    </r>
    <r>
      <rPr>
        <sz val="14"/>
        <color indexed="12"/>
        <rFont val="Verdana"/>
        <family val="2"/>
      </rPr>
      <t xml:space="preserve">      </t>
    </r>
    <r>
      <rPr>
        <sz val="14"/>
        <color indexed="21"/>
        <rFont val="Verdana"/>
        <family val="2"/>
      </rPr>
      <t>( Mini Ready Reckoner)</t>
    </r>
  </si>
  <si>
    <t xml:space="preserve">  Select and click any rule to know the brief detail about the taxation Rules &amp; Informations.</t>
  </si>
  <si>
    <t>New Tax  Rates  for Financial-Year 2020-21, Assessment Year 2021-2022 in Old and New Regime</t>
  </si>
  <si>
    <t>Some  Exempted Receipts / Special allowances &amp;  Perquisite which are not chargable to tax in Old regime</t>
  </si>
  <si>
    <t xml:space="preserve">Some Exempted Income ( to be shown while Return filing) </t>
  </si>
  <si>
    <t>T A X   R U L E S  &amp;  O T H E R   U S E F U L   I N F O R M A T I O N S</t>
  </si>
  <si>
    <t>I</t>
  </si>
  <si>
    <t>HRA exemption-u/s 10(13A)</t>
  </si>
  <si>
    <t>II</t>
  </si>
  <si>
    <t>Standard deduction u/s 16 (1a) instead of Transport allowance and Medical Reimbursement</t>
  </si>
  <si>
    <t>III</t>
  </si>
  <si>
    <t xml:space="preserve">Reimbursement of Medical bills </t>
  </si>
  <si>
    <t xml:space="preserve"> u/s(5) LTA  Exemption </t>
  </si>
  <si>
    <t>V</t>
  </si>
  <si>
    <t>Deduction u/s 24  and Relief u/s 80EE or 80EEA on interest on housing loan.</t>
  </si>
  <si>
    <t>VI</t>
  </si>
  <si>
    <t xml:space="preserve">u/s 80CCE &amp; 80CCD Maximum Exemption </t>
  </si>
  <si>
    <t>VII</t>
  </si>
  <si>
    <t xml:space="preserve">Rajiv Gandhi Equity Savings Scheme </t>
  </si>
  <si>
    <t>VIII</t>
  </si>
  <si>
    <t>u/s 80D Medical Insurance</t>
  </si>
  <si>
    <t>IX</t>
  </si>
  <si>
    <t>u/s 80DD Deduction in respect of medical treatment of handicapped dependents</t>
  </si>
  <si>
    <t>X</t>
  </si>
  <si>
    <t>u/s 80DDB Deduction in respect of medical treatment for specified ailments or diseases</t>
  </si>
  <si>
    <t>XI</t>
  </si>
  <si>
    <t>u/s 80E Interest repayment on education loan</t>
  </si>
  <si>
    <t>XII</t>
  </si>
  <si>
    <t xml:space="preserve">u/s 80G Donations given for certain charities </t>
  </si>
  <si>
    <t>XIII</t>
  </si>
  <si>
    <t>u/s 80GG If Assesse is not getting  HRA,  but living in rented house,</t>
  </si>
  <si>
    <t>XIV</t>
  </si>
  <si>
    <t xml:space="preserve">u/s 80U If assesse have a permanent physical disability </t>
  </si>
  <si>
    <t>XV</t>
  </si>
  <si>
    <t>u/s 80TTA/80TTB Deduction on interest Income.</t>
  </si>
  <si>
    <t xml:space="preserve"> KNOW MORE about DEDUCTION under Section 80-C</t>
  </si>
  <si>
    <t>a</t>
  </si>
  <si>
    <t>Qualifying Investments u/s 80CCE</t>
  </si>
  <si>
    <t>b</t>
  </si>
  <si>
    <t xml:space="preserve">Provident Fund (PF) &amp; Voluntary Provident Fund (VPF) </t>
  </si>
  <si>
    <t>c</t>
  </si>
  <si>
    <t>Life Insurance Premiums &amp; Unit linked Insurance Plan (ULIP)</t>
  </si>
  <si>
    <t>d</t>
  </si>
  <si>
    <t>Public Provident Fund (PPF):</t>
  </si>
  <si>
    <t>e</t>
  </si>
  <si>
    <t>National Savings Certificate (NSC):</t>
  </si>
  <si>
    <t>f</t>
  </si>
  <si>
    <t xml:space="preserve">Home Loan Principal Repayment &amp; Stamp Duty and Registration Charges for a home </t>
  </si>
  <si>
    <t>g</t>
  </si>
  <si>
    <t xml:space="preserve">Tuition  fees  for 2 children </t>
  </si>
  <si>
    <t>h</t>
  </si>
  <si>
    <t>Equity Linked Savings Scheme (ELSS)</t>
  </si>
  <si>
    <t>i</t>
  </si>
  <si>
    <t>5-Yr bank fixed deposits (FDs)  or 5-Yr post office time deposit (POTD)</t>
  </si>
  <si>
    <t>j</t>
  </si>
  <si>
    <t xml:space="preserve">Pension Funds or Pension Policies </t>
  </si>
  <si>
    <t>Sukanya Samridhi Account</t>
  </si>
  <si>
    <t>l</t>
  </si>
  <si>
    <t>Infrastructure Bonds: NABARD rural bonds:</t>
  </si>
  <si>
    <t>m</t>
  </si>
  <si>
    <t>Senior Citizen Savings Scheme 2004 (SCSS)</t>
  </si>
  <si>
    <t xml:space="preserve">Allowed Deductions &amp; Exemptions under New Income Tax Regime </t>
  </si>
  <si>
    <r>
      <rPr>
        <b/>
        <sz val="14"/>
        <color indexed="10"/>
        <rFont val="Arial"/>
        <family val="2"/>
      </rPr>
      <t xml:space="preserve">         </t>
    </r>
    <r>
      <rPr>
        <b/>
        <u/>
        <sz val="14"/>
        <color indexed="10"/>
        <rFont val="Arial"/>
        <family val="2"/>
      </rPr>
      <t>TAX  RATES  as per Old Regime -</t>
    </r>
    <r>
      <rPr>
        <b/>
        <u/>
        <sz val="10"/>
        <color indexed="10"/>
        <rFont val="Arial"/>
        <family val="2"/>
      </rPr>
      <t xml:space="preserve">- </t>
    </r>
    <r>
      <rPr>
        <b/>
        <u/>
        <sz val="11"/>
        <color indexed="17"/>
        <rFont val="Arial"/>
        <family val="2"/>
      </rPr>
      <t xml:space="preserve">  for Financial Year 2020-21 &amp; Assesment Year 2021-22 </t>
    </r>
    <r>
      <rPr>
        <b/>
        <u/>
        <sz val="11"/>
        <color indexed="10"/>
        <rFont val="Arial"/>
        <family val="2"/>
      </rPr>
      <t xml:space="preserve"> </t>
    </r>
  </si>
  <si>
    <r>
      <t xml:space="preserve">                                              </t>
    </r>
    <r>
      <rPr>
        <b/>
        <sz val="12"/>
        <color indexed="11"/>
        <rFont val="Arial"/>
        <family val="2"/>
      </rPr>
      <t xml:space="preserve">  </t>
    </r>
    <r>
      <rPr>
        <b/>
        <sz val="12"/>
        <color indexed="10"/>
        <rFont val="Arial"/>
        <family val="2"/>
      </rPr>
      <t>For Individual</t>
    </r>
    <r>
      <rPr>
        <b/>
        <sz val="12"/>
        <color indexed="11"/>
        <rFont val="Arial"/>
        <family val="2"/>
      </rPr>
      <t xml:space="preserve"> (MALE &amp; FEMALE)  </t>
    </r>
    <r>
      <rPr>
        <b/>
        <sz val="12"/>
        <color indexed="10"/>
        <rFont val="Arial"/>
        <family val="2"/>
      </rPr>
      <t xml:space="preserve">ASSESSE </t>
    </r>
    <r>
      <rPr>
        <b/>
        <sz val="9"/>
        <color indexed="11"/>
        <rFont val="Arial"/>
        <family val="2"/>
      </rPr>
      <t xml:space="preserve"> </t>
    </r>
  </si>
  <si>
    <t xml:space="preserve">   Net Income Range                                                   Income Tax Rates</t>
  </si>
  <si>
    <t xml:space="preserve">  Up to ₹ 2,50,000                                                                    NIL</t>
  </si>
  <si>
    <t xml:space="preserve">  ₹ 2,50,001 to ₹ 5,00,000                                       5% on Total Income (-) ₹ 2,50,000</t>
  </si>
  <si>
    <t xml:space="preserve">  ₹ 5,00,001 to ₹ 10,00,000                                ₹12,500+20% of Total Income (-) ₹5,00,000</t>
  </si>
  <si>
    <t xml:space="preserve">  More than ₹ 10.00,000                                   ₹1,12,500+30% of Total Income (-) ₹10,00,000</t>
  </si>
  <si>
    <t>Note- (u/s 87A- A rebate upto ₹ 12500/-  for assessee with Income range upto ₹ 5,00,00 will be available in Both Old &amp; New Regime) )</t>
  </si>
  <si>
    <r>
      <t xml:space="preserve">     For </t>
    </r>
    <r>
      <rPr>
        <b/>
        <sz val="12"/>
        <color indexed="12"/>
        <rFont val="Arial"/>
        <family val="2"/>
      </rPr>
      <t>SENIOR CITIZEN</t>
    </r>
    <r>
      <rPr>
        <b/>
        <sz val="12"/>
        <color indexed="10"/>
        <rFont val="Arial"/>
        <family val="2"/>
      </rPr>
      <t xml:space="preserve">  ASSESSE (Above 60 Year )</t>
    </r>
    <r>
      <rPr>
        <b/>
        <sz val="10"/>
        <color indexed="10"/>
        <rFont val="Arial"/>
        <family val="2"/>
      </rPr>
      <t xml:space="preserve"> attaining the age during the year </t>
    </r>
  </si>
  <si>
    <t xml:space="preserve">       Net Income Range                                              Income Tax Rates</t>
  </si>
  <si>
    <r>
      <t xml:space="preserve">    Up to </t>
    </r>
    <r>
      <rPr>
        <b/>
        <sz val="10"/>
        <rFont val="Rupee Foradian Standard"/>
        <family val="2"/>
      </rPr>
      <t xml:space="preserve"> ₹3</t>
    </r>
    <r>
      <rPr>
        <b/>
        <sz val="10"/>
        <rFont val="Arial"/>
        <family val="2"/>
      </rPr>
      <t>,00,000                                                           NIL</t>
    </r>
  </si>
  <si>
    <t xml:space="preserve">    ₹3,00,001 to 5,00,000                                                            5% of Total Income(-) ₹3,00,000</t>
  </si>
  <si>
    <t xml:space="preserve">    ₹5,00,001 to 10,00,000                                         ₹10,000 +20% of Total Income (-) ₹5,00,000</t>
  </si>
  <si>
    <t xml:space="preserve">    More than ₹10.00,000                                       ₹1,10,000 +30% of Total Income (-) ₹10,00,000</t>
  </si>
  <si>
    <t>Note- (u/s 87A- A rebate upto ₹ 10000/-  for assessee with Income range upto ₹ 5,00,000)</t>
  </si>
  <si>
    <r>
      <rPr>
        <b/>
        <sz val="12"/>
        <color indexed="36"/>
        <rFont val="Arial"/>
        <family val="2"/>
      </rPr>
      <t xml:space="preserve">   </t>
    </r>
    <r>
      <rPr>
        <b/>
        <sz val="12"/>
        <color indexed="10"/>
        <rFont val="Arial"/>
        <family val="2"/>
      </rPr>
      <t xml:space="preserve"> For</t>
    </r>
    <r>
      <rPr>
        <b/>
        <sz val="12"/>
        <color indexed="36"/>
        <rFont val="Arial"/>
        <family val="2"/>
      </rPr>
      <t xml:space="preserve"> VERY SENIOR CITIZEN  </t>
    </r>
    <r>
      <rPr>
        <b/>
        <sz val="12"/>
        <color indexed="10"/>
        <rFont val="Arial"/>
        <family val="2"/>
      </rPr>
      <t>ASSESSE</t>
    </r>
    <r>
      <rPr>
        <b/>
        <sz val="12"/>
        <color indexed="36"/>
        <rFont val="Arial"/>
        <family val="2"/>
      </rPr>
      <t xml:space="preserve"> </t>
    </r>
    <r>
      <rPr>
        <b/>
        <sz val="12"/>
        <color indexed="17"/>
        <rFont val="Arial"/>
        <family val="2"/>
      </rPr>
      <t>(Above 80 Year )</t>
    </r>
    <r>
      <rPr>
        <b/>
        <sz val="9"/>
        <color indexed="17"/>
        <rFont val="Arial"/>
        <family val="2"/>
      </rPr>
      <t xml:space="preserve"> attaining the age during the year </t>
    </r>
  </si>
  <si>
    <t xml:space="preserve">      Net Income Range                                              Income Tax Rates</t>
  </si>
  <si>
    <t xml:space="preserve">    Up to ₹5,00,000                                                           NIL</t>
  </si>
  <si>
    <t xml:space="preserve">    ₹5,00,001 to ₹10,00,000                                         20% of Total Income (-) ₹10,00,000</t>
  </si>
  <si>
    <t xml:space="preserve">    More than ₹10,00,000                                         ₹1,00,000 +30% of Total Income (-) ₹10,00,000</t>
  </si>
  <si>
    <r>
      <t>Note: 1. Education and Health Cess is 4% of income tax from all Assesse.</t>
    </r>
    <r>
      <rPr>
        <b/>
        <sz val="10"/>
        <color indexed="10"/>
        <rFont val="Arial"/>
        <family val="2"/>
      </rPr>
      <t xml:space="preserve"> (as per Finance Act 2018)</t>
    </r>
    <r>
      <rPr>
        <b/>
        <sz val="10"/>
        <color indexed="12"/>
        <rFont val="Arial"/>
        <family val="2"/>
      </rPr>
      <t xml:space="preserve">                                                                                                                                                           </t>
    </r>
    <r>
      <rPr>
        <b/>
        <sz val="10"/>
        <color indexed="9"/>
        <rFont val="Arial"/>
        <family val="2"/>
      </rPr>
      <t>.</t>
    </r>
    <r>
      <rPr>
        <b/>
        <sz val="10"/>
        <color indexed="12"/>
        <rFont val="Arial"/>
        <family val="2"/>
      </rPr>
      <t xml:space="preserve">        2. </t>
    </r>
    <r>
      <rPr>
        <b/>
        <sz val="10"/>
        <color indexed="10"/>
        <rFont val="Arial"/>
        <family val="2"/>
      </rPr>
      <t xml:space="preserve">Surcharge on income tax @10% for income above ₹50 Lakh &amp; 15% for income above ₹1crore </t>
    </r>
    <r>
      <rPr>
        <b/>
        <sz val="10"/>
        <color indexed="12"/>
        <rFont val="Arial"/>
        <family val="2"/>
      </rPr>
      <t xml:space="preserve"> </t>
    </r>
  </si>
  <si>
    <r>
      <rPr>
        <b/>
        <sz val="14"/>
        <color indexed="14"/>
        <rFont val="Arial"/>
        <family val="2"/>
      </rPr>
      <t xml:space="preserve">           TAX  RATES as per New Regime -</t>
    </r>
    <r>
      <rPr>
        <b/>
        <sz val="10"/>
        <color indexed="12"/>
        <rFont val="Arial"/>
        <family val="2"/>
      </rPr>
      <t xml:space="preserve">  for financial Year 2020-21 &amp; Assesment Year 2021-22  </t>
    </r>
    <r>
      <rPr>
        <b/>
        <sz val="10"/>
        <rFont val="Arial"/>
        <family val="2"/>
      </rPr>
      <t>( The new scheme is optional in nature )</t>
    </r>
  </si>
  <si>
    <t xml:space="preserve">For Individual (&gt;60Yrs)., Sr. Citizen (60+Yrs.) &amp; Very Sr. Citizen (80+Yrs.) ASSESSE  </t>
  </si>
  <si>
    <t>Up to – 250000 – Nil</t>
  </si>
  <si>
    <t xml:space="preserve">  ₹ 2,50,001 to ₹ 5,00,000                                                 5% on Total Income (-) ₹2,50,000 </t>
  </si>
  <si>
    <t xml:space="preserve">  ₹ 5,00,001 to ₹ 7,50,000                                   ₹12,500+10% of Total Income (-) ₹5,00,000</t>
  </si>
  <si>
    <t xml:space="preserve">  ₹ 7,50,001 to ₹ 10,00,000                                 ₹37,500+15% of Total Income (-) ₹7,50,000</t>
  </si>
  <si>
    <t xml:space="preserve">  ₹ 10,00,001 to ₹ 12,50,000                               ₹75,000+20% of Total Income (-) ₹10,00,000</t>
  </si>
  <si>
    <t xml:space="preserve">  ₹ 12,50,001 to ₹ 15,00,000                            ₹1,25,000+25% of Total Income (-) ₹12,50,000</t>
  </si>
  <si>
    <t xml:space="preserve">  ₹ 15,00,001 &amp; above                                    ₹1,87,500+30% of Total Income (-) ₹15,00,000</t>
  </si>
  <si>
    <r>
      <rPr>
        <b/>
        <sz val="11"/>
        <color indexed="21"/>
        <rFont val="Arial"/>
        <family val="2"/>
      </rPr>
      <t xml:space="preserve"> </t>
    </r>
    <r>
      <rPr>
        <b/>
        <u/>
        <sz val="11"/>
        <color indexed="21"/>
        <rFont val="Arial"/>
        <family val="2"/>
      </rPr>
      <t xml:space="preserve">Some  Exempted Receipts /Special allowances &amp;  Perquisite which are not chargable to tax are </t>
    </r>
    <r>
      <rPr>
        <b/>
        <sz val="11"/>
        <color indexed="10"/>
        <rFont val="Arial"/>
        <family val="2"/>
      </rPr>
      <t xml:space="preserve"> </t>
    </r>
  </si>
  <si>
    <r>
      <rPr>
        <b/>
        <sz val="11"/>
        <rFont val="Arial"/>
        <family val="2"/>
      </rPr>
      <t xml:space="preserve"> </t>
    </r>
    <r>
      <rPr>
        <b/>
        <sz val="11"/>
        <color indexed="10"/>
        <rFont val="Arial"/>
        <family val="2"/>
      </rPr>
      <t>Exempted Receipts</t>
    </r>
    <r>
      <rPr>
        <sz val="11"/>
        <color theme="1"/>
        <rFont val="Calibri"/>
        <family val="2"/>
        <scheme val="minor"/>
      </rPr>
      <t xml:space="preserve"> - </t>
    </r>
    <r>
      <rPr>
        <b/>
        <sz val="10"/>
        <rFont val="Arial"/>
        <family val="2"/>
      </rPr>
      <t xml:space="preserve">1. </t>
    </r>
    <r>
      <rPr>
        <b/>
        <sz val="10"/>
        <color indexed="48"/>
        <rFont val="Arial"/>
        <family val="2"/>
      </rPr>
      <t xml:space="preserve"> L.T.A (as per Rule)   </t>
    </r>
    <r>
      <rPr>
        <sz val="10"/>
        <color indexed="48"/>
        <rFont val="Arial"/>
        <family val="2"/>
      </rPr>
      <t xml:space="preserve">                                                         </t>
    </r>
  </si>
  <si>
    <t xml:space="preserve">Back ↑    </t>
  </si>
  <si>
    <r>
      <rPr>
        <b/>
        <u/>
        <sz val="10"/>
        <color indexed="48"/>
        <rFont val="Arial"/>
        <family val="2"/>
      </rPr>
      <t xml:space="preserve">Special allowances Exempted u/s 10(14)  </t>
    </r>
    <r>
      <rPr>
        <b/>
        <u/>
        <sz val="10"/>
        <rFont val="Arial"/>
        <family val="2"/>
      </rPr>
      <t xml:space="preserve">                                                                                                                                                                                                                                                                    1. Uniform Allowance </t>
    </r>
    <r>
      <rPr>
        <u/>
        <sz val="10"/>
        <rFont val="Arial"/>
        <family val="2"/>
      </rPr>
      <t>(granted to meet the expenditure incurred on purchase or maintenance of uniform to be worn during performance of Official Duty)</t>
    </r>
    <r>
      <rPr>
        <b/>
        <u/>
        <sz val="10"/>
        <rFont val="Arial"/>
        <family val="2"/>
      </rPr>
      <t xml:space="preserve">                                                                                            2. Helper Allowance </t>
    </r>
    <r>
      <rPr>
        <u/>
        <sz val="10"/>
        <rFont val="Arial"/>
        <family val="2"/>
      </rPr>
      <t>( granted to meet exependiture incurred on helper for performance of official duty)</t>
    </r>
    <r>
      <rPr>
        <b/>
        <u/>
        <sz val="10"/>
        <rFont val="Arial"/>
        <family val="2"/>
      </rPr>
      <t xml:space="preserve">                                                                                                                                                                                 3. Academic Allowance</t>
    </r>
    <r>
      <rPr>
        <u/>
        <sz val="10"/>
        <rFont val="Arial"/>
        <family val="2"/>
      </rPr>
      <t xml:space="preserve"> (granted for encouraging academic, research &amp; training pursuits) including Newspaper, Generals etc.) </t>
    </r>
    <r>
      <rPr>
        <b/>
        <u/>
        <sz val="10"/>
        <rFont val="Arial"/>
        <family val="2"/>
      </rPr>
      <t xml:space="preserve">                                                                                                                             4. Children Education Allowance (</t>
    </r>
    <r>
      <rPr>
        <u/>
        <sz val="10"/>
        <rFont val="Arial"/>
        <family val="2"/>
      </rPr>
      <t xml:space="preserve"> ₹100 P.M. per child / (₹300 for hostel expenditure) Max of 2 children) </t>
    </r>
    <r>
      <rPr>
        <b/>
        <u/>
        <sz val="10"/>
        <rFont val="Arial"/>
        <family val="2"/>
      </rPr>
      <t xml:space="preserve">                                                                                                                                                            5. Convayance allowance </t>
    </r>
    <r>
      <rPr>
        <u/>
        <sz val="10"/>
        <rFont val="Arial"/>
        <family val="2"/>
      </rPr>
      <t xml:space="preserve">( granted to meet the expenditure incurred on convayance, while performing official duty. </t>
    </r>
    <r>
      <rPr>
        <b/>
        <u/>
        <sz val="10"/>
        <rFont val="Arial"/>
        <family val="2"/>
      </rPr>
      <t xml:space="preserve">                                                                                                                                                .   </t>
    </r>
    <r>
      <rPr>
        <u/>
        <sz val="10"/>
        <rFont val="Arial"/>
        <family val="2"/>
      </rPr>
      <t xml:space="preserve">( Expenditure incured for covering journey between office and residence is not treated as expenditure in performance of official duty. ) </t>
    </r>
  </si>
  <si>
    <r>
      <rPr>
        <b/>
        <u/>
        <sz val="11"/>
        <color indexed="10"/>
        <rFont val="Arial"/>
        <family val="2"/>
      </rPr>
      <t xml:space="preserve"> </t>
    </r>
    <r>
      <rPr>
        <b/>
        <u/>
        <sz val="11"/>
        <color indexed="21"/>
        <rFont val="Arial"/>
        <family val="2"/>
      </rPr>
      <t xml:space="preserve">Deduction available u/s -16 </t>
    </r>
    <r>
      <rPr>
        <b/>
        <u/>
        <sz val="10"/>
        <color indexed="10"/>
        <rFont val="Arial"/>
        <family val="2"/>
      </rPr>
      <t xml:space="preserve"> </t>
    </r>
    <r>
      <rPr>
        <b/>
        <sz val="10"/>
        <color indexed="10"/>
        <rFont val="Arial"/>
        <family val="2"/>
      </rPr>
      <t xml:space="preserve"> </t>
    </r>
    <r>
      <rPr>
        <b/>
        <sz val="10"/>
        <rFont val="Arial"/>
        <family val="2"/>
      </rPr>
      <t xml:space="preserve">                                                                                                                                                                                                                                                                       </t>
    </r>
    <r>
      <rPr>
        <b/>
        <sz val="11"/>
        <rFont val="Arial"/>
        <family val="2"/>
      </rPr>
      <t>1.</t>
    </r>
    <r>
      <rPr>
        <b/>
        <sz val="11"/>
        <color indexed="10"/>
        <rFont val="Arial"/>
        <family val="2"/>
      </rPr>
      <t>Standard deduction</t>
    </r>
    <r>
      <rPr>
        <b/>
        <sz val="11"/>
        <rFont val="Arial"/>
        <family val="2"/>
      </rPr>
      <t xml:space="preserve"> </t>
    </r>
    <r>
      <rPr>
        <sz val="11"/>
        <rFont val="Arial"/>
        <family val="2"/>
      </rPr>
      <t xml:space="preserve">of  Rs. 50000/- is granted to all salaried employee.whenever Transport allowance and Medical reimbursement are abolished  </t>
    </r>
    <r>
      <rPr>
        <b/>
        <sz val="11"/>
        <rFont val="Arial"/>
        <family val="2"/>
      </rPr>
      <t xml:space="preserve">                                                                                                    2. </t>
    </r>
    <r>
      <rPr>
        <b/>
        <sz val="11"/>
        <color indexed="10"/>
        <rFont val="Arial"/>
        <family val="2"/>
      </rPr>
      <t>Entertainment allowance</t>
    </r>
    <r>
      <rPr>
        <b/>
        <sz val="11"/>
        <rFont val="Arial"/>
        <family val="2"/>
      </rPr>
      <t xml:space="preserve"> </t>
    </r>
    <r>
      <rPr>
        <sz val="11"/>
        <rFont val="Arial"/>
        <family val="2"/>
      </rPr>
      <t>(for Govt Employees) Max  ₹5000/-</t>
    </r>
    <r>
      <rPr>
        <b/>
        <sz val="11"/>
        <rFont val="Arial"/>
        <family val="2"/>
      </rPr>
      <t xml:space="preserve">                                                                                                                                                                                                                           3. </t>
    </r>
    <r>
      <rPr>
        <b/>
        <sz val="11"/>
        <color indexed="10"/>
        <rFont val="Arial"/>
        <family val="2"/>
      </rPr>
      <t>Professional tax</t>
    </r>
    <r>
      <rPr>
        <b/>
        <sz val="11"/>
        <rFont val="Arial"/>
        <family val="2"/>
      </rPr>
      <t xml:space="preserve"> - </t>
    </r>
    <r>
      <rPr>
        <sz val="11"/>
        <rFont val="Arial"/>
        <family val="2"/>
      </rPr>
      <t>Professional tax paid by employeer is deducted from Gross salary</t>
    </r>
    <r>
      <rPr>
        <b/>
        <sz val="11"/>
        <rFont val="Arial"/>
        <family val="2"/>
      </rPr>
      <t>.</t>
    </r>
  </si>
  <si>
    <r>
      <rPr>
        <b/>
        <sz val="11"/>
        <color indexed="21"/>
        <rFont val="Arial"/>
        <family val="2"/>
      </rPr>
      <t xml:space="preserve"> </t>
    </r>
    <r>
      <rPr>
        <b/>
        <u/>
        <sz val="11"/>
        <color indexed="21"/>
        <rFont val="Arial"/>
        <family val="2"/>
      </rPr>
      <t>Perquisite not chargable to tax</t>
    </r>
  </si>
  <si>
    <r>
      <rPr>
        <b/>
        <sz val="10"/>
        <color indexed="21"/>
        <rFont val="Arial"/>
        <family val="2"/>
      </rPr>
      <t xml:space="preserve"> </t>
    </r>
    <r>
      <rPr>
        <b/>
        <sz val="11"/>
        <color indexed="21"/>
        <rFont val="Arial"/>
        <family val="2"/>
      </rPr>
      <t>Free food and beverage</t>
    </r>
    <r>
      <rPr>
        <b/>
        <sz val="10"/>
        <rFont val="Arial"/>
        <family val="2"/>
      </rPr>
      <t xml:space="preserve"> 1. Food and non-alcoholic beverages provided in working hours in remote area or an offshore instalation are exempted to tax                                                                                                                                    2. Tea, coffee or non-alcoholic beverages and snaks in working hours are tax free perquisites.                                                                                                                                                                                                                                                            3. Meals (Lunch and / or dinner) in office hours is not taxable. If cost to the employeris  </t>
    </r>
    <r>
      <rPr>
        <b/>
        <sz val="10"/>
        <rFont val="Rupee Foradian Standard"/>
        <family val="2"/>
      </rPr>
      <t>₹</t>
    </r>
    <r>
      <rPr>
        <b/>
        <sz val="10"/>
        <rFont val="Arial"/>
        <family val="2"/>
      </rPr>
      <t xml:space="preserve">50 (or Less) per meal.  </t>
    </r>
  </si>
  <si>
    <r>
      <rPr>
        <b/>
        <sz val="11"/>
        <color indexed="21"/>
        <rFont val="Arial"/>
        <family val="2"/>
      </rPr>
      <t xml:space="preserve"> </t>
    </r>
    <r>
      <rPr>
        <b/>
        <u/>
        <sz val="11"/>
        <color indexed="21"/>
        <rFont val="Arial"/>
        <family val="2"/>
      </rPr>
      <t>Some Exempted Income are</t>
    </r>
    <r>
      <rPr>
        <b/>
        <sz val="11"/>
        <color indexed="10"/>
        <rFont val="Arial"/>
        <family val="2"/>
      </rPr>
      <t xml:space="preserve"> ( to be shown while Return filing) </t>
    </r>
  </si>
  <si>
    <t xml:space="preserve">         1.  Withdrawal / Maturity / Interest received from PF,PPF,Sukanya Samridhi Account, Life Insurance policy, Agriculture. (Max up to ₹5000/- )</t>
  </si>
  <si>
    <t xml:space="preserve">         2    Long Term Capital Gain From Shares</t>
  </si>
  <si>
    <r>
      <t xml:space="preserve">         3.   Interest on Saving Bank &amp; Post Office A/c up to </t>
    </r>
    <r>
      <rPr>
        <b/>
        <sz val="12"/>
        <rFont val="Arial"/>
        <family val="2"/>
      </rPr>
      <t xml:space="preserve"> </t>
    </r>
    <r>
      <rPr>
        <b/>
        <sz val="12"/>
        <rFont val="Calibri"/>
        <family val="2"/>
      </rPr>
      <t xml:space="preserve">₹ </t>
    </r>
    <r>
      <rPr>
        <b/>
        <sz val="10"/>
        <rFont val="Arial"/>
        <family val="2"/>
      </rPr>
      <t xml:space="preserve">10,000/- ( Sec-80TTE) for Individual </t>
    </r>
  </si>
  <si>
    <t xml:space="preserve">         4.   Interest on Saving Bank &amp; Post Office A/c, FD, RD etc up to  ₹ 50,000/- (Sec-80TTE) for Sr. Citizen </t>
  </si>
  <si>
    <r>
      <rPr>
        <b/>
        <u/>
        <sz val="11"/>
        <color indexed="10"/>
        <rFont val="Arial"/>
        <family val="2"/>
      </rPr>
      <t>Please Note</t>
    </r>
    <r>
      <rPr>
        <b/>
        <u/>
        <sz val="11"/>
        <rFont val="Arial"/>
        <family val="2"/>
      </rPr>
      <t xml:space="preserve"> :</t>
    </r>
  </si>
  <si>
    <t>(i) Interest earned from all sources are to be included. All interest income (including saving Bank A/C (above ₹10,000 for Individual &amp; ₹50,000 for Sr. Citizen )</t>
  </si>
  <si>
    <t xml:space="preserve">(II) As per clarification from IT department, all perquisites such as rent-free accommodation, company provided car, free or concessional education facilities, employee stock option plan, free club membership, company provided credit card, gift vouchers, meal coupons, hotel stay beyond 15 days, are fully taxable. </t>
  </si>
  <si>
    <t>T A X   R U L E S  &amp;  O T H E R   U S E F U L   I N F O R M A T I O N S  for</t>
  </si>
  <si>
    <r>
      <rPr>
        <b/>
        <sz val="11"/>
        <color indexed="21"/>
        <rFont val="Arial"/>
        <family val="2"/>
      </rPr>
      <t xml:space="preserve"> House Rent Allowance exemption</t>
    </r>
    <r>
      <rPr>
        <b/>
        <sz val="10"/>
        <rFont val="Arial"/>
        <family val="2"/>
      </rPr>
      <t xml:space="preserve">-10(13A) = Least amount of anyone (i) 40% of Salary (50%, if house situated in Mumbai, Calcutta, Delhi or Madras)                                                                                                                                                                                                                                   </t>
    </r>
    <r>
      <rPr>
        <b/>
        <sz val="10"/>
        <color indexed="9"/>
        <rFont val="Arial"/>
        <family val="2"/>
      </rPr>
      <t>.</t>
    </r>
    <r>
      <rPr>
        <b/>
        <sz val="10"/>
        <rFont val="Arial"/>
        <family val="2"/>
      </rPr>
      <t xml:space="preserve">                                                                                                             or (ii) Actual HRA Recived                                                                                                                                                                                                                                                        </t>
    </r>
    <r>
      <rPr>
        <b/>
        <sz val="10"/>
        <color indexed="9"/>
        <rFont val="Arial"/>
        <family val="2"/>
      </rPr>
      <t xml:space="preserve">. </t>
    </r>
    <r>
      <rPr>
        <b/>
        <sz val="10"/>
        <rFont val="Arial"/>
        <family val="2"/>
      </rPr>
      <t xml:space="preserve">                                                                                                            or (iii) Rent paid minus 10% of salary * Salary= Basic + DA (if part of retirement benefit) + Turnover based Commission                                              </t>
    </r>
    <r>
      <rPr>
        <b/>
        <sz val="11"/>
        <color indexed="10"/>
        <rFont val="Arial"/>
        <family val="2"/>
      </rPr>
      <t>Note</t>
    </r>
    <r>
      <rPr>
        <b/>
        <sz val="10"/>
        <rFont val="Arial"/>
        <family val="2"/>
      </rPr>
      <t xml:space="preserve"> i. Fully Taxable, if HRA is received by an employee who is living in his own house or if he does not pay any rent                                                                                                                                                          ii. It is mandatory for employee to report PAN of the landlord to the employer if rent paid is more than ₹ 1,00,000 [Circular No. 08 /2013 dated 10th October, 2013]. (In case the landlord does not have PAN, employee should submit a declaration stating the same along with the landlord’s details.)</t>
    </r>
  </si>
  <si>
    <t xml:space="preserve">II       </t>
  </si>
  <si>
    <r>
      <rPr>
        <b/>
        <sz val="11"/>
        <color indexed="21"/>
        <rFont val="Arial"/>
        <family val="2"/>
      </rPr>
      <t xml:space="preserve">Standard deduction of  ₹50000/- is allowed to all salaried employee. </t>
    </r>
    <r>
      <rPr>
        <sz val="11"/>
        <rFont val="Arial"/>
        <family val="2"/>
      </rPr>
      <t xml:space="preserve">In Finace act 2019 standard deduction of Rs. 50,000/- has allowed to all salaried employees.                                            </t>
    </r>
    <r>
      <rPr>
        <b/>
        <sz val="9"/>
        <color indexed="10"/>
        <rFont val="Arial"/>
        <family val="2"/>
      </rPr>
      <t xml:space="preserve"> </t>
    </r>
    <r>
      <rPr>
        <b/>
        <sz val="9"/>
        <rFont val="Arial"/>
        <family val="2"/>
      </rPr>
      <t xml:space="preserve"> But Transport allowance  &amp; Medical Reimburement are abolished. Whenever an exemption of  up to ₹3200/- per month is cotinue for disabled employees (Blind and Handicapped employees) .                                                                                                                                                                                                                                                                                                                                                                                                        Transport Allowance is granted to an employee to meet expenditure on commuting between place of residence and place of duty</t>
    </r>
  </si>
  <si>
    <t>Reimbursement of Medical bills has withdrawan and not allowed from finance act 2018. Now it has become a part of Standard deduction of Rs. 50,000/-</t>
  </si>
  <si>
    <r>
      <rPr>
        <b/>
        <sz val="11"/>
        <color indexed="10"/>
        <rFont val="Arial"/>
        <family val="2"/>
      </rPr>
      <t xml:space="preserve"> u/s(5)</t>
    </r>
    <r>
      <rPr>
        <b/>
        <sz val="11"/>
        <color indexed="21"/>
        <rFont val="Arial"/>
        <family val="2"/>
      </rPr>
      <t xml:space="preserve"> LTA is exempt</t>
    </r>
    <r>
      <rPr>
        <b/>
        <sz val="11"/>
        <rFont val="Arial"/>
        <family val="2"/>
      </rPr>
      <t xml:space="preserve"> </t>
    </r>
    <r>
      <rPr>
        <b/>
        <sz val="9"/>
        <rFont val="Arial"/>
        <family val="2"/>
      </rPr>
      <t>to the tune of economy class Train/ Air /Recognised public Transport fare for the family to any destination in India, by the shortest route.                                                                                                                   LTA can be claimed twice in a block of 4 calendar year. The current block is from 01.01.2018 to 31.12.2021. For claim, it is must to provide originals tickets etc.</t>
    </r>
  </si>
  <si>
    <r>
      <t xml:space="preserve">   V(a) </t>
    </r>
    <r>
      <rPr>
        <b/>
        <sz val="9"/>
        <color indexed="10"/>
        <rFont val="Arial"/>
        <family val="2"/>
      </rPr>
      <t>New Change</t>
    </r>
  </si>
  <si>
    <r>
      <rPr>
        <b/>
        <sz val="11"/>
        <color indexed="21"/>
        <rFont val="Arial"/>
        <family val="2"/>
      </rPr>
      <t xml:space="preserve"> u/s 24 and 80 EE/ </t>
    </r>
    <r>
      <rPr>
        <b/>
        <sz val="11"/>
        <color indexed="10"/>
        <rFont val="Arial"/>
        <family val="2"/>
      </rPr>
      <t>80EEA</t>
    </r>
    <r>
      <rPr>
        <b/>
        <sz val="10"/>
        <rFont val="Arial"/>
        <family val="2"/>
      </rPr>
      <t xml:space="preserve"> There is an Exemption for interest on housing loan.(for Self occupied Residence). If the loan was taken before Apr 1, 1999 exemption is limited to ₹30,000/- per year. If the loan was taken after Apr 1, 1999 exemption is limited to ₹2,00,000/- per year if the house is self-occupied;                                                                                                                                                                 
This exemption is available on accrual basis, which means if interest has accrued, you can claim exemption, irrespective of whether you've paid it or not.                                                                  </t>
    </r>
    <r>
      <rPr>
        <b/>
        <sz val="11"/>
        <color indexed="10"/>
        <rFont val="Arial"/>
        <family val="2"/>
      </rPr>
      <t>80EE -</t>
    </r>
    <r>
      <rPr>
        <b/>
        <sz val="10"/>
        <rFont val="Arial"/>
        <family val="2"/>
      </rPr>
      <t xml:space="preserve"> In finance bill 2016 (an additional rebate of ₹.50.000/- was given to those assesse, who purchase self ocupied single house and loan has sanctioned between 01/04/2016 to 31/03/2018 with maximum value of ₹ 50 Lacs and sanctioned home loan up to 35 Lacs.). The deduction is allowed untill the loan is repaid.                                                                                                                             </t>
    </r>
    <r>
      <rPr>
        <b/>
        <sz val="11"/>
        <color indexed="10"/>
        <rFont val="Arial"/>
        <family val="2"/>
      </rPr>
      <t xml:space="preserve"> Sec 80EEA</t>
    </r>
    <r>
      <rPr>
        <b/>
        <sz val="10"/>
        <rFont val="Arial"/>
        <family val="2"/>
      </rPr>
      <t xml:space="preserve"> - In Finance bill 2019 ( a new rebate for purchase first house has been introduced to extend the tax benefit upto Rs. 1,50,000/- for affordable house of stamp duty valued up to               Rs. 45 Lacs and loan sanctioned during the period 01/04/2019 to 31/03.2021)                                                                                                                                            </t>
    </r>
  </si>
  <si>
    <t xml:space="preserve">      (b)</t>
  </si>
  <si>
    <r>
      <rPr>
        <b/>
        <sz val="11"/>
        <color indexed="10"/>
        <rFont val="Arial"/>
        <family val="2"/>
      </rPr>
      <t>If you have rented out your house</t>
    </r>
    <r>
      <rPr>
        <sz val="11"/>
        <rFont val="Arial"/>
        <family val="2"/>
      </rPr>
      <t>,</t>
    </r>
    <r>
      <rPr>
        <sz val="9"/>
        <rFont val="Arial"/>
        <family val="2"/>
      </rPr>
      <t xml:space="preserve"> Whole the interest will be eligible for deduction.</t>
    </r>
    <r>
      <rPr>
        <sz val="11"/>
        <color theme="1"/>
        <rFont val="Calibri"/>
        <family val="2"/>
        <scheme val="minor"/>
      </rPr>
      <t xml:space="preserve"> (after deducting property tax and standard maintenance expenses from rent recived). But maximum interest allowed for deduction is 2,00,000/- only and rest of interest will be adjust while filing of ITR as carryforward of losses.</t>
    </r>
  </si>
  <si>
    <r>
      <rPr>
        <b/>
        <sz val="9"/>
        <color indexed="10"/>
        <rFont val="Arial"/>
        <family val="2"/>
      </rPr>
      <t xml:space="preserve">u/s 80CCE- Maximum Exemption up to  ₹1,50,000/- </t>
    </r>
    <r>
      <rPr>
        <b/>
        <sz val="9"/>
        <rFont val="Arial"/>
        <family val="2"/>
      </rPr>
      <t xml:space="preserve"> Investments up to ₹1.5 lac in PF, VPF, PPF, Employee contribution in NPS,Insurance Premium, Housing loan principal repayment, NSC, ELSS, long term bank Fixed Deposit, Post Office Term Deposit, etc. are deductible from the taxable income. There is no limit on individual items, (for example) all 1.5 lac can be invested in NSC or PPF etc.  </t>
    </r>
  </si>
  <si>
    <t xml:space="preserve">VII                                                                                                                                                                     </t>
  </si>
  <si>
    <r>
      <rPr>
        <b/>
        <sz val="9"/>
        <color indexed="10"/>
        <rFont val="Arial"/>
        <family val="2"/>
      </rPr>
      <t xml:space="preserve">u/s 80CCG </t>
    </r>
    <r>
      <rPr>
        <b/>
        <sz val="9"/>
        <rFont val="Arial"/>
        <family val="2"/>
      </rPr>
      <t xml:space="preserve">- Rajiv Gandhi Equity Savings Scheme exemption has been abolished in Fianance Act 2017. </t>
    </r>
  </si>
  <si>
    <t xml:space="preserve">IX     </t>
  </si>
  <si>
    <r>
      <rPr>
        <b/>
        <sz val="11"/>
        <color indexed="10"/>
        <rFont val="Arial"/>
        <family val="2"/>
      </rPr>
      <t>u/s 80D</t>
    </r>
    <r>
      <rPr>
        <b/>
        <sz val="10"/>
        <rFont val="Arial"/>
        <family val="2"/>
      </rPr>
      <t xml:space="preserve"> </t>
    </r>
    <r>
      <rPr>
        <b/>
        <sz val="10"/>
        <color indexed="21"/>
        <rFont val="Arial"/>
        <family val="2"/>
      </rPr>
      <t xml:space="preserve">Medical Insurance Premiums+ Critical Insurance cover Premiuma +Health checkup+ CGHS/ SGHS contributions </t>
    </r>
    <r>
      <rPr>
        <b/>
        <sz val="10"/>
        <rFont val="Arial"/>
        <family val="2"/>
      </rPr>
      <t xml:space="preserve">                                                                                                                               (Mediclaim Insurance &amp; Critical illness Cover from health Insurance Co. or Life Insurance Co. with contribution in CGHS/SGHS &amp; Preventive Health Check upto INR.5000/-) for Self Family &amp; Parents &lt;60 Yrs. or Sr. Citizen. For Very Sr. Citizen abobe 80 Yrs. Expenses on medical treatment.                                                                                                                                                                                                                                                                                           Premium &amp; Health checkup  is exempt up to                                                                                                                                                                                                                                                                                                               1.₹. 25000/- for Self &amp; Family less than 60Yrs.                                                                                                                                                                                                                                                                                 2.₹ 50000/- for Self, Family &amp; Parents below 60 Yrs  (25000/-+25000/-)                                                                                                                                                                                                                               3. ₹ 75000/ for Self, Family &amp; Parents Sr. Citizen –  (25000/-+50000/-)                                                                                                                                                                                                                                                                  4. ₹ 50000/- sr. Citizen above 60 Yrs Self &amp; Family                       </t>
    </r>
  </si>
  <si>
    <t xml:space="preserve">X    </t>
  </si>
  <si>
    <r>
      <rPr>
        <b/>
        <u/>
        <sz val="11"/>
        <color indexed="10"/>
        <rFont val="Arial"/>
        <family val="2"/>
      </rPr>
      <t>u/s 80DD</t>
    </r>
    <r>
      <rPr>
        <b/>
        <sz val="11"/>
        <color indexed="10"/>
        <rFont val="Arial"/>
        <family val="2"/>
      </rPr>
      <t xml:space="preserve"> </t>
    </r>
    <r>
      <rPr>
        <b/>
        <sz val="10"/>
        <color indexed="21"/>
        <rFont val="Arial"/>
        <family val="2"/>
      </rPr>
      <t>Deduction in respect of medical treatment of handicapped dependents</t>
    </r>
    <r>
      <rPr>
        <sz val="10"/>
        <color indexed="21"/>
        <rFont val="Arial"/>
        <family val="2"/>
      </rPr>
      <t xml:space="preserve"> </t>
    </r>
    <r>
      <rPr>
        <sz val="11"/>
        <color theme="1"/>
        <rFont val="Calibri"/>
        <family val="2"/>
        <scheme val="minor"/>
      </rPr>
      <t xml:space="preserve">is limited to </t>
    </r>
    <r>
      <rPr>
        <sz val="10"/>
        <rFont val="Rupee Foradian Standard"/>
        <family val="2"/>
      </rPr>
      <t>₹75</t>
    </r>
    <r>
      <rPr>
        <sz val="11"/>
        <color theme="1"/>
        <rFont val="Calibri"/>
        <family val="2"/>
        <scheme val="minor"/>
      </rPr>
      <t xml:space="preserve">,000/- per year if the disability is less than 80% and </t>
    </r>
    <r>
      <rPr>
        <sz val="10"/>
        <rFont val="Rupee Foradian Standard"/>
        <family val="2"/>
      </rPr>
      <t>Rs</t>
    </r>
    <r>
      <rPr>
        <sz val="11"/>
        <color theme="1"/>
        <rFont val="Calibri"/>
        <family val="2"/>
        <scheme val="minor"/>
      </rPr>
      <t>1,25,000/- per year if the disability is more than 80%</t>
    </r>
  </si>
  <si>
    <t xml:space="preserve">XI      </t>
  </si>
  <si>
    <r>
      <rPr>
        <b/>
        <sz val="11"/>
        <color indexed="10"/>
        <rFont val="Arial"/>
        <family val="2"/>
      </rPr>
      <t>u/s 80DDB</t>
    </r>
    <r>
      <rPr>
        <b/>
        <sz val="10"/>
        <color indexed="21"/>
        <rFont val="Arial"/>
        <family val="2"/>
      </rPr>
      <t xml:space="preserve"> Deduction in respect of medical treatment for specified ailments or diseases for the assesse or dependent </t>
    </r>
    <r>
      <rPr>
        <b/>
        <sz val="10"/>
        <rFont val="Arial"/>
        <family val="2"/>
      </rPr>
      <t xml:space="preserve">can be claimed up to ₹40,000/- per year. If the person being treated is a senior citizen (Age 60+), the exemption can go up to ₹1,00,000/- but any amount received under Medical Insurance Policy will be reduced from the amount of deduction allowed.                                     The Diseases and ailments specified under rule 11DD are.                                                                                                                                                                                                                         (1) Neurological diseases being demetia, dystonia musculorum deformans, motor neuron disease, ataxia, chorea, hemiballismus, aphasia and parkisons disease, (2) cancer, (3) AIDS, (4)Chronic renal failure, (5) hemophilia, and (6) thalassaemia.                                                                                                                                                                                                                                                                                  Note:The assessee will be required to obtain a prescription/Certificate from a specialist doctor whether from Govt or Pvt. for the purpose of availing this deduction. </t>
    </r>
  </si>
  <si>
    <r>
      <rPr>
        <b/>
        <u/>
        <sz val="11"/>
        <color indexed="10"/>
        <rFont val="Arial"/>
        <family val="2"/>
      </rPr>
      <t>u/s 80E</t>
    </r>
    <r>
      <rPr>
        <b/>
        <sz val="11"/>
        <color indexed="12"/>
        <rFont val="Arial"/>
        <family val="2"/>
      </rPr>
      <t xml:space="preserve"> </t>
    </r>
    <r>
      <rPr>
        <b/>
        <sz val="11"/>
        <color indexed="21"/>
        <rFont val="Arial"/>
        <family val="2"/>
      </rPr>
      <t>Interest repayment on education loan</t>
    </r>
    <r>
      <rPr>
        <b/>
        <sz val="9"/>
        <color indexed="12"/>
        <rFont val="Arial"/>
        <family val="2"/>
      </rPr>
      <t xml:space="preserve"> </t>
    </r>
    <r>
      <rPr>
        <sz val="11"/>
        <color theme="1"/>
        <rFont val="Calibri"/>
        <family val="2"/>
        <scheme val="minor"/>
      </rPr>
      <t>(taken for higher education from a university of self &amp; dependents) is completely tax exempt</t>
    </r>
  </si>
  <si>
    <r>
      <rPr>
        <b/>
        <u/>
        <sz val="11"/>
        <color indexed="10"/>
        <rFont val="Arial"/>
        <family val="2"/>
      </rPr>
      <t>u/s 80G</t>
    </r>
    <r>
      <rPr>
        <b/>
        <sz val="11"/>
        <color indexed="21"/>
        <rFont val="Arial"/>
        <family val="2"/>
      </rPr>
      <t xml:space="preserve"> Donations given for certain charities</t>
    </r>
    <r>
      <rPr>
        <sz val="9"/>
        <rFont val="Arial"/>
        <family val="2"/>
      </rPr>
      <t xml:space="preserve"> </t>
    </r>
    <r>
      <rPr>
        <sz val="11"/>
        <color theme="1"/>
        <rFont val="Calibri"/>
        <family val="2"/>
        <scheme val="minor"/>
      </rPr>
      <t>are tax exempt.NGO,Trust etc. are exempt to the tune of 50%, whereas Govt funds are 100%.</t>
    </r>
    <r>
      <rPr>
        <sz val="9"/>
        <rFont val="Arial"/>
        <family val="2"/>
      </rPr>
      <t xml:space="preserve">                                                                                                                                                               </t>
    </r>
    <r>
      <rPr>
        <b/>
        <u/>
        <sz val="11"/>
        <color indexed="10"/>
        <rFont val="Arial"/>
        <family val="2"/>
      </rPr>
      <t>u/s 80GGA</t>
    </r>
    <r>
      <rPr>
        <sz val="9"/>
        <rFont val="Arial"/>
        <family val="2"/>
      </rPr>
      <t xml:space="preserve"> -</t>
    </r>
    <r>
      <rPr>
        <sz val="11"/>
        <color indexed="21"/>
        <rFont val="Arial"/>
        <family val="2"/>
      </rPr>
      <t xml:space="preserve"> </t>
    </r>
    <r>
      <rPr>
        <b/>
        <sz val="11"/>
        <color indexed="21"/>
        <rFont val="Arial"/>
        <family val="2"/>
      </rPr>
      <t>Donations for scientific, social or statistical research or rural development programme</t>
    </r>
    <r>
      <rPr>
        <sz val="11"/>
        <color indexed="21"/>
        <rFont val="Arial"/>
        <family val="2"/>
      </rPr>
      <t xml:space="preserve"> </t>
    </r>
    <r>
      <rPr>
        <sz val="9"/>
        <rFont val="Arial"/>
        <family val="2"/>
      </rPr>
      <t xml:space="preserve">or for carrying out an eligible project or scheme or National Urban Poverty Eradication Fund u/s                                                               </t>
    </r>
    <r>
      <rPr>
        <b/>
        <u/>
        <sz val="11"/>
        <color indexed="10"/>
        <rFont val="Arial"/>
        <family val="2"/>
      </rPr>
      <t>80GGC</t>
    </r>
    <r>
      <rPr>
        <sz val="9"/>
        <rFont val="Arial"/>
        <family val="2"/>
      </rPr>
      <t xml:space="preserve"> -</t>
    </r>
    <r>
      <rPr>
        <b/>
        <sz val="10"/>
        <color indexed="21"/>
        <rFont val="Arial"/>
        <family val="2"/>
      </rPr>
      <t xml:space="preserve">Donation to any political party/electoral trust  </t>
    </r>
    <r>
      <rPr>
        <sz val="9"/>
        <rFont val="Arial"/>
        <family val="2"/>
      </rPr>
      <t xml:space="preserve"> </t>
    </r>
  </si>
  <si>
    <r>
      <t xml:space="preserve">XIV         </t>
    </r>
    <r>
      <rPr>
        <b/>
        <sz val="9"/>
        <color indexed="10"/>
        <rFont val="Arial"/>
        <family val="2"/>
      </rPr>
      <t>New</t>
    </r>
  </si>
  <si>
    <r>
      <rPr>
        <b/>
        <u/>
        <sz val="11"/>
        <color indexed="10"/>
        <rFont val="Arial"/>
        <family val="2"/>
      </rPr>
      <t>u/s 80GG</t>
    </r>
    <r>
      <rPr>
        <b/>
        <sz val="10"/>
        <color indexed="10"/>
        <rFont val="Arial"/>
        <family val="2"/>
      </rPr>
      <t xml:space="preserve"> </t>
    </r>
    <r>
      <rPr>
        <b/>
        <sz val="10"/>
        <color indexed="21"/>
        <rFont val="Arial"/>
        <family val="2"/>
      </rPr>
      <t>If you are not getting  HRA, but living in rented house, an exemption is available.</t>
    </r>
    <r>
      <rPr>
        <b/>
        <sz val="10"/>
        <color indexed="10"/>
        <rFont val="Arial"/>
        <family val="2"/>
      </rPr>
      <t xml:space="preserve"> </t>
    </r>
    <r>
      <rPr>
        <b/>
        <sz val="10"/>
        <rFont val="Arial"/>
        <family val="2"/>
      </rPr>
      <t>This will be calculated as minimum of (25% of total income or rent paid - 10% of total income or ₹ 60,000/- per year</t>
    </r>
    <r>
      <rPr>
        <b/>
        <sz val="9"/>
        <rFont val="Arial"/>
        <family val="2"/>
      </rPr>
      <t>)</t>
    </r>
  </si>
  <si>
    <r>
      <rPr>
        <b/>
        <sz val="10"/>
        <color indexed="10"/>
        <rFont val="Arial"/>
        <family val="2"/>
      </rPr>
      <t>u/s 80U</t>
    </r>
    <r>
      <rPr>
        <b/>
        <sz val="10"/>
        <rFont val="Arial"/>
        <family val="2"/>
      </rPr>
      <t xml:space="preserve"> who suffers from not less than 40 per cent of any</t>
    </r>
    <r>
      <rPr>
        <b/>
        <sz val="10"/>
        <color indexed="10"/>
        <rFont val="Arial"/>
        <family val="2"/>
      </rPr>
      <t xml:space="preserve"> disability</t>
    </r>
    <r>
      <rPr>
        <b/>
        <sz val="10"/>
        <rFont val="Arial"/>
        <family val="2"/>
      </rPr>
      <t xml:space="preserve"> is eligible for</t>
    </r>
    <r>
      <rPr>
        <b/>
        <sz val="10"/>
        <color indexed="10"/>
        <rFont val="Arial"/>
        <family val="2"/>
      </rPr>
      <t xml:space="preserve"> deduction</t>
    </r>
    <r>
      <rPr>
        <b/>
        <sz val="10"/>
        <rFont val="Arial"/>
        <family val="2"/>
      </rPr>
      <t xml:space="preserve"> to the extent of ₹ 75,000/- and in case of severe disability to the extent of ₹ 1,25,000/-</t>
    </r>
  </si>
  <si>
    <t>XVI</t>
  </si>
  <si>
    <r>
      <t xml:space="preserve">                                       </t>
    </r>
    <r>
      <rPr>
        <b/>
        <i/>
        <u/>
        <sz val="12"/>
        <color indexed="57"/>
        <rFont val="Arial"/>
        <family val="2"/>
      </rPr>
      <t xml:space="preserve">KNOW MORE about DEDUCTION under Section 80-C and chapter VIA </t>
    </r>
  </si>
  <si>
    <r>
      <rPr>
        <b/>
        <u/>
        <sz val="11"/>
        <color indexed="10"/>
        <rFont val="Arial"/>
        <family val="2"/>
      </rPr>
      <t>Section 80C</t>
    </r>
    <r>
      <rPr>
        <b/>
        <sz val="10"/>
        <rFont val="Arial"/>
        <family val="2"/>
      </rPr>
      <t xml:space="preserve"> </t>
    </r>
    <r>
      <rPr>
        <b/>
        <sz val="10"/>
        <color indexed="12"/>
        <rFont val="Arial"/>
        <family val="2"/>
      </rPr>
      <t>of the Income Tax Act allows certain investments and expenditure to be deduct from total income -</t>
    </r>
    <r>
      <rPr>
        <b/>
        <sz val="10"/>
        <rFont val="Arial"/>
        <family val="2"/>
      </rPr>
      <t xml:space="preserve"> </t>
    </r>
    <r>
      <rPr>
        <sz val="11"/>
        <color theme="1"/>
        <rFont val="Calibri"/>
        <family val="2"/>
        <scheme val="minor"/>
      </rPr>
      <t xml:space="preserve">One must plan investments well and spread it out across the various instruments specified under this section to avail maximum tax benefit. There are no sub-limits and is irrespective of how much you earn and under which tax bracket you fall. Most of the Income Tax payee try to save tax by saving under Section 80C of the Income Tax Act.  However, it is important to know the Section in total. so that one can make best use of the options available for deduction under income tax Act. One important point to note that one can not only save tax by undertaking the specified investments, but some expenditure which you normally incur can also give you the tax exemptions.
</t>
    </r>
  </si>
  <si>
    <r>
      <rPr>
        <b/>
        <sz val="12"/>
        <color indexed="10"/>
        <rFont val="Arial"/>
        <family val="2"/>
      </rPr>
      <t xml:space="preserve">                                         </t>
    </r>
    <r>
      <rPr>
        <b/>
        <u/>
        <sz val="12"/>
        <color indexed="10"/>
        <rFont val="Arial"/>
        <family val="2"/>
      </rPr>
      <t>Qualifying Investments u/s 80CCE are</t>
    </r>
  </si>
  <si>
    <r>
      <rPr>
        <b/>
        <u/>
        <sz val="10"/>
        <color indexed="12"/>
        <rFont val="Arial"/>
        <family val="2"/>
      </rPr>
      <t>Provident Fund (PF) &amp; Voluntary Provident Fund</t>
    </r>
    <r>
      <rPr>
        <u/>
        <sz val="10"/>
        <color indexed="12"/>
        <rFont val="Arial"/>
        <family val="2"/>
      </rPr>
      <t xml:space="preserve"> </t>
    </r>
    <r>
      <rPr>
        <b/>
        <u/>
        <sz val="10"/>
        <color indexed="12"/>
        <rFont val="Arial"/>
        <family val="2"/>
      </rPr>
      <t>(VPF)</t>
    </r>
    <r>
      <rPr>
        <sz val="11"/>
        <color theme="1"/>
        <rFont val="Calibri"/>
        <family val="2"/>
        <scheme val="minor"/>
      </rPr>
      <t xml:space="preserve"> PF is automatically deducted from your salary. your contribution [12% of Basic] (i.e., employee’s contribution) is counted towards section 80C investments. You also have the option to contribute additional amounts through voluntary contributions (VPF). Current rate of interest is 8.5% per annum (p.a.) and is tax-free.
</t>
    </r>
  </si>
  <si>
    <r>
      <rPr>
        <b/>
        <u/>
        <sz val="10"/>
        <color indexed="12"/>
        <rFont val="Arial"/>
        <family val="2"/>
      </rPr>
      <t>Life Insurance Premiums</t>
    </r>
    <r>
      <rPr>
        <sz val="11"/>
        <color theme="1"/>
        <rFont val="Calibri"/>
        <family val="2"/>
        <scheme val="minor"/>
      </rPr>
      <t xml:space="preserve">: Any amount that you pay towards life insurance premium in Life Insurance Corporation (LIC) or any other Insurance CO.for yourself, your spouse or your children can also be included in Section 80C deduction. If you are paying premium for more than one insurance policy, all the premiums will be included. also premium paid for ULIP will also be treated as Premium paid for Life Insurance Policies.                                                                                                                                                                                                                        </t>
    </r>
    <r>
      <rPr>
        <b/>
        <u/>
        <sz val="10"/>
        <color indexed="12"/>
        <rFont val="Arial"/>
        <family val="2"/>
      </rPr>
      <t>Unit linked Insurance Plan : ULIP</t>
    </r>
    <r>
      <rPr>
        <sz val="11"/>
        <color theme="1"/>
        <rFont val="Calibri"/>
        <family val="2"/>
        <scheme val="minor"/>
      </rPr>
      <t xml:space="preserve"> stands for Unit linked Saving Schemes. ULIPs cover Life insurance with benefits of equity investments.They have attracted the attention of investors and tax-savers not only because they help us save tax but they also perform well to give decent returns in the long-term.
</t>
    </r>
    <r>
      <rPr>
        <b/>
        <u/>
        <sz val="10"/>
        <color indexed="10"/>
        <rFont val="Arial"/>
        <family val="2"/>
      </rPr>
      <t>IMP</t>
    </r>
    <r>
      <rPr>
        <sz val="11"/>
        <color theme="1"/>
        <rFont val="Calibri"/>
        <family val="2"/>
        <scheme val="minor"/>
      </rPr>
      <t xml:space="preserve"> : Total Amount Received at Maturity, Survival Benefits, , Withdrawl in Insurance Policies is Tax Free and fully exempteed u/s 10(10D).</t>
    </r>
  </si>
  <si>
    <r>
      <rPr>
        <b/>
        <u/>
        <sz val="10"/>
        <color indexed="12"/>
        <rFont val="Arial"/>
        <family val="2"/>
      </rPr>
      <t>Public Provident Fund (PPF</t>
    </r>
    <r>
      <rPr>
        <b/>
        <sz val="10"/>
        <color indexed="12"/>
        <rFont val="Arial"/>
        <family val="2"/>
      </rPr>
      <t>)</t>
    </r>
    <r>
      <rPr>
        <sz val="11"/>
        <color theme="1"/>
        <rFont val="Calibri"/>
        <family val="2"/>
        <scheme val="minor"/>
      </rPr>
      <t xml:space="preserve">: Among all the assured returns small saving schemes, Public Provident Fund (PPF) is one of the best. Current rate of interest is 8% tax-free and the normal maturity period is 15 years Minimum amount of contribution is ₹500 and maximum is ₹1,50,000.(New Change) from Finance Act  2014
</t>
    </r>
  </si>
  <si>
    <r>
      <rPr>
        <b/>
        <u/>
        <sz val="10"/>
        <color indexed="48"/>
        <rFont val="Arial"/>
        <family val="2"/>
      </rPr>
      <t>National Savings Certificate (NSC)</t>
    </r>
    <r>
      <rPr>
        <sz val="11"/>
        <color theme="1"/>
        <rFont val="Calibri"/>
        <family val="2"/>
        <scheme val="minor"/>
      </rPr>
      <t>: National Savings Certificate (NSC) is a 5-Yr small savings instrument eligible for section 80C tax benefit. Rate of interest is  8.58% compounded half-yearly, i.e. If you invest ₹100, it becomes ₹150.90 after five years. The interest accrued every year is liable to tax (i.e. to be included in your taxable income) but the interest is also deemed to be reinvested and thus eligible for section 80C deduction.</t>
    </r>
  </si>
  <si>
    <r>
      <rPr>
        <b/>
        <u/>
        <sz val="10"/>
        <color indexed="12"/>
        <rFont val="Arial"/>
        <family val="2"/>
      </rPr>
      <t>Home Loan Principal Repayment &amp; Stamp Duty and Registration Charges for a home Loan</t>
    </r>
    <r>
      <rPr>
        <sz val="11"/>
        <color theme="1"/>
        <rFont val="Calibri"/>
        <family val="2"/>
        <scheme val="minor"/>
      </rPr>
      <t xml:space="preserve"> The Equated Monthly Installment (EMI) that you pay every month to repay your home loan consists of two components – </t>
    </r>
    <r>
      <rPr>
        <b/>
        <sz val="10"/>
        <rFont val="Arial"/>
        <family val="2"/>
      </rPr>
      <t>Principal</t>
    </r>
    <r>
      <rPr>
        <sz val="11"/>
        <color theme="1"/>
        <rFont val="Calibri"/>
        <family val="2"/>
        <scheme val="minor"/>
      </rPr>
      <t xml:space="preserve"> and</t>
    </r>
    <r>
      <rPr>
        <b/>
        <sz val="10"/>
        <rFont val="Arial"/>
        <family val="2"/>
      </rPr>
      <t xml:space="preserve"> Interest</t>
    </r>
    <r>
      <rPr>
        <sz val="11"/>
        <color theme="1"/>
        <rFont val="Calibri"/>
        <family val="2"/>
        <scheme val="minor"/>
      </rPr>
      <t xml:space="preserve">.The principal component of the EMI qualifies for deduction under Sec 80C. Even the interest component can save you significant income tax – but that would be under Section 24 of the Income Tax Act. The amount you pay as stamp duty when you buy a house, and the amount you pay for the registration of the documents of the house can be claimed as deduction under section 80C in the year of purchase of the house.
</t>
    </r>
  </si>
  <si>
    <r>
      <rPr>
        <b/>
        <u/>
        <sz val="10"/>
        <color indexed="12"/>
        <rFont val="Arial"/>
        <family val="2"/>
      </rPr>
      <t>Tuition  fees  for 2 children</t>
    </r>
    <r>
      <rPr>
        <sz val="11"/>
        <color theme="1"/>
        <rFont val="Calibri"/>
        <family val="2"/>
        <scheme val="minor"/>
      </rPr>
      <t xml:space="preserve">  Apart form the above major investments expenses for children’s education (Only Tution Fee (for which you need receipts)), can be claimed as deductions under Sec 80C.
</t>
    </r>
  </si>
  <si>
    <r>
      <rPr>
        <b/>
        <u/>
        <sz val="10"/>
        <color indexed="12"/>
        <rFont val="Arial"/>
        <family val="2"/>
      </rPr>
      <t xml:space="preserve">Equity Linked Savings Scheme </t>
    </r>
    <r>
      <rPr>
        <b/>
        <sz val="10"/>
        <rFont val="Arial"/>
        <family val="2"/>
      </rPr>
      <t>(ELSS)</t>
    </r>
    <r>
      <rPr>
        <sz val="11"/>
        <color theme="1"/>
        <rFont val="Calibri"/>
        <family val="2"/>
        <scheme val="minor"/>
      </rPr>
      <t xml:space="preserve">: There are some mutual fund (MF) schemes specially created for offering you tax savings, and these are called Equity Linked Savings Scheme, or ELSS. The investments that you make in ELSS are eligible for deduction under Sec 80C.
</t>
    </r>
  </si>
  <si>
    <r>
      <rPr>
        <b/>
        <u/>
        <sz val="10"/>
        <color indexed="12"/>
        <rFont val="Arial"/>
        <family val="2"/>
      </rPr>
      <t>5-Yr bank fixed deposits</t>
    </r>
    <r>
      <rPr>
        <sz val="11"/>
        <color theme="1"/>
        <rFont val="Calibri"/>
        <family val="2"/>
        <scheme val="minor"/>
      </rPr>
      <t xml:space="preserve"> </t>
    </r>
    <r>
      <rPr>
        <b/>
        <sz val="10"/>
        <rFont val="Arial"/>
        <family val="2"/>
      </rPr>
      <t>(FDs)</t>
    </r>
    <r>
      <rPr>
        <sz val="11"/>
        <color theme="1"/>
        <rFont val="Calibri"/>
        <family val="2"/>
        <scheme val="minor"/>
      </rPr>
      <t xml:space="preserve">: Tax-saving fixed deposits (FDs) of scheduled banks with tenure of 5 years are also entitled for section 80C deduction.                                                                                             </t>
    </r>
    <r>
      <rPr>
        <b/>
        <u/>
        <sz val="10"/>
        <color indexed="12"/>
        <rFont val="Arial"/>
        <family val="2"/>
      </rPr>
      <t>5-Yr post office time deposit</t>
    </r>
    <r>
      <rPr>
        <sz val="11"/>
        <color theme="1"/>
        <rFont val="Calibri"/>
        <family val="2"/>
        <scheme val="minor"/>
      </rPr>
      <t xml:space="preserve"> </t>
    </r>
    <r>
      <rPr>
        <b/>
        <sz val="10"/>
        <rFont val="Arial"/>
        <family val="2"/>
      </rPr>
      <t>(POTD)</t>
    </r>
    <r>
      <rPr>
        <sz val="11"/>
        <color theme="1"/>
        <rFont val="Calibri"/>
        <family val="2"/>
        <scheme val="minor"/>
      </rPr>
      <t xml:space="preserve"> scheme: POTDs are similar to bank fixed deposits. Although available for varying time duration like one year, two year, three year and five year, only 5-Yr post-office time deposit (POTD) – which currently offers 7.5 per cent rate of interest –qualifies for tax saving under section 80C. Effective rate works out to be 7.71% per annum (p.a.) as the rate of interest is compounded quarterly but paid annually. The Interest is entirely taxable.
</t>
    </r>
  </si>
  <si>
    <t xml:space="preserve">Pension Funds or Pension Policies – Section 80CCC: This section – Sec 80CCC – stipulates that an investment in pension funds is eligible for deduction from your income. Section 80CCC investment limit is clubbed with the limit of Section 80C – it means that the total deduction available for 80CCC and 80C is ₹1.5 Lakh.This also means that your investment in pension funds upto ₹1.5 Lakh can be claimed as deduction u/s 80CCC. However, as mentioned earlier, the total deduction u/s 80C and 80CCC can not exceed  ₹1.5 Lakh.
</t>
  </si>
  <si>
    <r>
      <rPr>
        <b/>
        <u/>
        <sz val="10"/>
        <color indexed="12"/>
        <rFont val="Arial"/>
        <family val="2"/>
      </rPr>
      <t>Infrastructure Bonds</t>
    </r>
    <r>
      <rPr>
        <sz val="11"/>
        <color theme="1"/>
        <rFont val="Calibri"/>
        <family val="2"/>
        <scheme val="minor"/>
      </rPr>
      <t xml:space="preserve">: These are also popularly called Infra Bonds. These are issued by infrastructure companies, and not the government. The amount that you invest in these bonds can also be included in Sec 80C deductions.                                                                                                                                                                
</t>
    </r>
    <r>
      <rPr>
        <b/>
        <u/>
        <sz val="10"/>
        <color indexed="12"/>
        <rFont val="Arial"/>
        <family val="2"/>
      </rPr>
      <t>NABARD rural bonds</t>
    </r>
    <r>
      <rPr>
        <sz val="11"/>
        <color theme="1"/>
        <rFont val="Calibri"/>
        <family val="2"/>
        <scheme val="minor"/>
      </rPr>
      <t xml:space="preserve">: There are two types of Bonds issued by NABARD (National Bank for Agriculture and Rural Development): NABARD Rural Bonds and Bhavishya Nirman Bonds (BNB). Out of these two, only NABARD Rural Bonds qualify under section 80C.
</t>
    </r>
  </si>
  <si>
    <r>
      <rPr>
        <b/>
        <u/>
        <sz val="10"/>
        <color indexed="12"/>
        <rFont val="Arial"/>
        <family val="2"/>
      </rPr>
      <t>Senior Citizen Savings Scheme 2004</t>
    </r>
    <r>
      <rPr>
        <sz val="11"/>
        <color theme="1"/>
        <rFont val="Calibri"/>
        <family val="2"/>
        <scheme val="minor"/>
      </rPr>
      <t xml:space="preserve"> </t>
    </r>
    <r>
      <rPr>
        <b/>
        <sz val="10"/>
        <rFont val="Arial"/>
        <family val="2"/>
      </rPr>
      <t>(SCSS)</t>
    </r>
    <r>
      <rPr>
        <sz val="11"/>
        <color theme="1"/>
        <rFont val="Calibri"/>
        <family val="2"/>
        <scheme val="minor"/>
      </rPr>
      <t xml:space="preserve">: A recent addition to section 80C list, Senior Citizen Savings Scheme (SCSS) is the most lucrative scheme among all the small savings schemes but is meant only for senior citizens. Current rate of interest is 9% per annum payable quarterly. Please note that the interest is payable quarterly instead of compounded quarterly. Thus, unclaimed interest on these deposits won’t earn any further interest. Interest income is chargeable to tax.
</t>
    </r>
  </si>
  <si>
    <r>
      <rPr>
        <b/>
        <u/>
        <sz val="10"/>
        <color indexed="48"/>
        <rFont val="Arial"/>
        <family val="2"/>
      </rPr>
      <t xml:space="preserve">Sukanya Samridhi Account </t>
    </r>
    <r>
      <rPr>
        <sz val="11"/>
        <color theme="1"/>
        <rFont val="Calibri"/>
        <family val="2"/>
        <scheme val="minor"/>
      </rPr>
      <t xml:space="preserve">: Contribution made in a financial year in Sukanya Samriddhi Account will also be eligible for income tax exemption under Section 80C up to a maximum of ₹ 1,50,000/-  </t>
    </r>
  </si>
  <si>
    <t>1. Deduction under sub-section (2) of section 80CCD (employer contribution on account of employee in notified pension scheme) if added in Gross salary</t>
  </si>
  <si>
    <t>2.Transport Allowance granted to Divyang Employee for commute between place of residence and duty</t>
  </si>
  <si>
    <t xml:space="preserve">The income tax Exemption on following incomes still available in the new regime </t>
  </si>
  <si>
    <r>
      <t>·</t>
    </r>
    <r>
      <rPr>
        <sz val="7"/>
        <color indexed="8"/>
        <rFont val="Times New Roman"/>
        <family val="1"/>
      </rPr>
      <t xml:space="preserve">         </t>
    </r>
    <r>
      <rPr>
        <sz val="13"/>
        <color indexed="8"/>
        <rFont val="Times New Roman"/>
        <family val="1"/>
      </rPr>
      <t>Death-cum-retirement benefit</t>
    </r>
  </si>
  <si>
    <r>
      <t>·</t>
    </r>
    <r>
      <rPr>
        <sz val="7"/>
        <color indexed="8"/>
        <rFont val="Times New Roman"/>
        <family val="1"/>
      </rPr>
      <t xml:space="preserve">         </t>
    </r>
    <r>
      <rPr>
        <sz val="13"/>
        <color indexed="8"/>
        <rFont val="Times New Roman"/>
        <family val="1"/>
      </rPr>
      <t>Commutations of pensions</t>
    </r>
  </si>
  <si>
    <r>
      <t>·</t>
    </r>
    <r>
      <rPr>
        <sz val="7"/>
        <color indexed="8"/>
        <rFont val="Times New Roman"/>
        <family val="1"/>
      </rPr>
      <t xml:space="preserve">         </t>
    </r>
    <r>
      <rPr>
        <sz val="13"/>
        <color indexed="8"/>
        <rFont val="Times New Roman"/>
        <family val="1"/>
      </rPr>
      <t>Leave encashment on retirement</t>
    </r>
  </si>
  <si>
    <r>
      <t>·</t>
    </r>
    <r>
      <rPr>
        <sz val="7"/>
        <color indexed="8"/>
        <rFont val="Times New Roman"/>
        <family val="1"/>
      </rPr>
      <t xml:space="preserve">         </t>
    </r>
    <r>
      <rPr>
        <sz val="13"/>
        <color indexed="8"/>
        <rFont val="Times New Roman"/>
        <family val="1"/>
      </rPr>
      <t>Amount received on VRS up to Rs 5 lakh</t>
    </r>
  </si>
  <si>
    <r>
      <t>·</t>
    </r>
    <r>
      <rPr>
        <sz val="7"/>
        <color indexed="8"/>
        <rFont val="Times New Roman"/>
        <family val="1"/>
      </rPr>
      <t xml:space="preserve">         </t>
    </r>
    <r>
      <rPr>
        <sz val="13"/>
        <color indexed="8"/>
        <rFont val="Times New Roman"/>
        <family val="1"/>
      </rPr>
      <t>Employee Provident Fund money</t>
    </r>
  </si>
  <si>
    <r>
      <t>·</t>
    </r>
    <r>
      <rPr>
        <sz val="7"/>
        <color indexed="8"/>
        <rFont val="Times New Roman"/>
        <family val="1"/>
      </rPr>
      <t xml:space="preserve">         </t>
    </r>
    <r>
      <rPr>
        <sz val="13"/>
        <color indexed="8"/>
        <rFont val="Times New Roman"/>
        <family val="1"/>
      </rPr>
      <t>Money received as scholarship for education</t>
    </r>
  </si>
  <si>
    <r>
      <t>·</t>
    </r>
    <r>
      <rPr>
        <sz val="7"/>
        <color indexed="8"/>
        <rFont val="Times New Roman"/>
        <family val="1"/>
      </rPr>
      <t xml:space="preserve">         </t>
    </r>
    <r>
      <rPr>
        <sz val="13"/>
        <color indexed="8"/>
        <rFont val="Times New Roman"/>
        <family val="1"/>
      </rPr>
      <t>Cash received as awards constituted in public interest</t>
    </r>
  </si>
  <si>
    <r>
      <t>·</t>
    </r>
    <r>
      <rPr>
        <sz val="7"/>
        <color indexed="8"/>
        <rFont val="Times New Roman"/>
        <family val="1"/>
      </rPr>
      <t xml:space="preserve">         </t>
    </r>
    <r>
      <rPr>
        <sz val="13"/>
        <color indexed="8"/>
        <rFont val="Times New Roman"/>
        <family val="1"/>
      </rPr>
      <t>Short-term withdrawals and maturity amount from the National Pension Scheme</t>
    </r>
  </si>
  <si>
    <r>
      <rPr>
        <b/>
        <sz val="11"/>
        <color indexed="10"/>
        <rFont val="Arial"/>
        <family val="2"/>
      </rPr>
      <t>u/s 80CCD(1</t>
    </r>
    <r>
      <rPr>
        <b/>
        <sz val="11"/>
        <rFont val="Arial"/>
        <family val="2"/>
      </rPr>
      <t>)</t>
    </r>
    <r>
      <rPr>
        <b/>
        <sz val="9"/>
        <rFont val="Arial"/>
        <family val="2"/>
      </rPr>
      <t xml:space="preserve">: </t>
    </r>
    <r>
      <rPr>
        <b/>
        <sz val="11"/>
        <color indexed="21"/>
        <rFont val="Arial"/>
        <family val="2"/>
      </rPr>
      <t xml:space="preserve"> Contribution to NPS (by Employee) </t>
    </r>
    <r>
      <rPr>
        <b/>
        <sz val="9"/>
        <rFont val="Arial"/>
        <family val="2"/>
      </rPr>
      <t xml:space="preserve">The Finance Act, 2015 provides that, The contribution made by the employee to the NPS will be subject to the limit of ₹1,50,000.(Sec 80CCE)                                                                                                                                                                                                                                                                                                                                                                                                                                                                                                                    </t>
    </r>
    <r>
      <rPr>
        <b/>
        <sz val="11"/>
        <color indexed="10"/>
        <rFont val="Arial"/>
        <family val="2"/>
      </rPr>
      <t>Section 80CCD (2</t>
    </r>
    <r>
      <rPr>
        <b/>
        <sz val="9"/>
        <rFont val="Arial"/>
        <family val="2"/>
      </rPr>
      <t xml:space="preserve">):  </t>
    </r>
    <r>
      <rPr>
        <b/>
        <sz val="11"/>
        <color indexed="21"/>
        <rFont val="Arial"/>
        <family val="2"/>
      </rPr>
      <t xml:space="preserve">Contribution to NPS (by Employer) </t>
    </r>
    <r>
      <rPr>
        <b/>
        <sz val="9"/>
        <rFont val="Arial"/>
        <family val="2"/>
      </rPr>
      <t xml:space="preserve">- Contribution made by the Central Government or any other employer to NPS shall be excluded while computing the limit of Rs1,50,000 Deduction available for the amount paid or deposited by the employer of the assessee in a pension scheme notified or as may be notified by the Central Government subject to a maximum of 10% of salary in the financial year.                                                                                                                                                                                                                                                                                                                                                                                                                                                                                                                    </t>
    </r>
    <r>
      <rPr>
        <b/>
        <sz val="11"/>
        <color indexed="10"/>
        <rFont val="Arial"/>
        <family val="2"/>
      </rPr>
      <t>Section 80CCD(1B):</t>
    </r>
    <r>
      <rPr>
        <b/>
        <sz val="9"/>
        <rFont val="Arial"/>
        <family val="2"/>
      </rPr>
      <t xml:space="preserve"> </t>
    </r>
    <r>
      <rPr>
        <b/>
        <sz val="11"/>
        <color indexed="21"/>
        <rFont val="Arial"/>
        <family val="2"/>
      </rPr>
      <t xml:space="preserve">Additional depoisiting to New Pension Scheme (NPS) account </t>
    </r>
    <r>
      <rPr>
        <b/>
        <sz val="9"/>
        <rFont val="Arial"/>
        <family val="2"/>
      </rPr>
      <t xml:space="preserve">in Banks/PO  - It will provide an additional deduction of upto ₹ 50,000 over and above the limit of ₹ 1.50 lakh in respect of contributions made to NPS account.
</t>
    </r>
  </si>
  <si>
    <r>
      <rPr>
        <b/>
        <u/>
        <sz val="11"/>
        <color indexed="10"/>
        <rFont val="Arial"/>
        <family val="2"/>
      </rPr>
      <t>u/s 80TTA/80TTB</t>
    </r>
    <r>
      <rPr>
        <b/>
        <sz val="11"/>
        <color indexed="12"/>
        <rFont val="Arial"/>
        <family val="2"/>
      </rPr>
      <t xml:space="preserve"> introduced through Finance Act, 2012. Section </t>
    </r>
    <r>
      <rPr>
        <b/>
        <u/>
        <sz val="11"/>
        <color indexed="10"/>
        <rFont val="Arial"/>
        <family val="2"/>
      </rPr>
      <t>80TTA</t>
    </r>
    <r>
      <rPr>
        <b/>
        <sz val="11"/>
        <color indexed="21"/>
        <rFont val="Arial"/>
        <family val="2"/>
      </rPr>
      <t xml:space="preserve"> provides a deduction of up to ₹10,000 on income from interest on saving bank accounts to Individual </t>
    </r>
    <r>
      <rPr>
        <b/>
        <sz val="11"/>
        <rFont val="Arial"/>
        <family val="2"/>
      </rPr>
      <t>asessee and</t>
    </r>
    <r>
      <rPr>
        <b/>
        <sz val="11"/>
        <color indexed="12"/>
        <rFont val="Arial"/>
        <family val="2"/>
      </rPr>
      <t xml:space="preserve">                                                                                                                                                                                                                                                                                                      </t>
    </r>
    <r>
      <rPr>
        <b/>
        <u/>
        <sz val="11"/>
        <color indexed="10"/>
        <rFont val="Arial"/>
        <family val="2"/>
      </rPr>
      <t>Sec 80TTB</t>
    </r>
    <r>
      <rPr>
        <b/>
        <sz val="11"/>
        <color indexed="12"/>
        <rFont val="Arial"/>
        <family val="2"/>
      </rPr>
      <t xml:space="preserve"> i</t>
    </r>
    <r>
      <rPr>
        <b/>
        <sz val="11"/>
        <rFont val="Arial"/>
        <family val="2"/>
      </rPr>
      <t>ntroduced through Finance Act, 2018. Which</t>
    </r>
    <r>
      <rPr>
        <b/>
        <sz val="11"/>
        <color indexed="21"/>
        <rFont val="Arial"/>
        <family val="2"/>
      </rPr>
      <t xml:space="preserve"> provides a deduction of up to ₹50,000 on income from interest Income from bank &amp; Post Offices ( Savings,FD, RD, MIS,SCSS etc. ) to Sr. Citizen asessee</t>
    </r>
    <r>
      <rPr>
        <b/>
        <sz val="11"/>
        <rFont val="Arial"/>
        <family val="2"/>
      </rPr>
      <t xml:space="preserve"> </t>
    </r>
  </si>
  <si>
    <t>ALLOWANCES</t>
  </si>
  <si>
    <t>WASHING ALLOWANCE</t>
  </si>
  <si>
    <t>Name of the Employee</t>
  </si>
  <si>
    <t xml:space="preserve">PAN </t>
  </si>
  <si>
    <t>HANDICAPTED ALLWANCE</t>
  </si>
  <si>
    <t>ANY OTHER</t>
  </si>
  <si>
    <t>HBA</t>
  </si>
  <si>
    <t>HBA INT</t>
  </si>
  <si>
    <t>CM CORONA RELIEF</t>
  </si>
  <si>
    <t>INCOME TAX</t>
  </si>
  <si>
    <t>Total Deduction</t>
  </si>
  <si>
    <t>Net paid Amount</t>
  </si>
  <si>
    <t>BILL NO</t>
  </si>
  <si>
    <t>TV NO</t>
  </si>
  <si>
    <t>cader</t>
  </si>
  <si>
    <t>State Service</t>
  </si>
  <si>
    <t>Subordinate</t>
  </si>
  <si>
    <t>Ministrial</t>
  </si>
  <si>
    <t>Class IV</t>
  </si>
  <si>
    <t>Cader</t>
  </si>
  <si>
    <t>Pay leval</t>
  </si>
  <si>
    <t>Pay March</t>
  </si>
  <si>
    <t>Pay Leval</t>
  </si>
  <si>
    <t>month</t>
  </si>
  <si>
    <t>deduction</t>
  </si>
  <si>
    <t>march basic</t>
  </si>
  <si>
    <t>ded</t>
  </si>
  <si>
    <t>BASIC</t>
  </si>
  <si>
    <t>CADER</t>
  </si>
  <si>
    <t>ARREAR 1</t>
  </si>
  <si>
    <t>ARREAR 2</t>
  </si>
  <si>
    <t>PAY LEVAL</t>
  </si>
  <si>
    <t>total</t>
  </si>
  <si>
    <t>pay</t>
  </si>
  <si>
    <t>da</t>
  </si>
  <si>
    <t>Employee Type</t>
  </si>
  <si>
    <t>pay after acp</t>
  </si>
  <si>
    <t>NO DEDUCTION</t>
  </si>
  <si>
    <t>DOB</t>
  </si>
  <si>
    <t>Employee ID</t>
  </si>
  <si>
    <t>CITY TYPE</t>
  </si>
  <si>
    <t>Choose Metro for Delhi,Mumbai,Chennai,Kolkata and for others Non Metro</t>
  </si>
  <si>
    <t>EMPLOYEE TYPE</t>
  </si>
  <si>
    <t>DEDUCTION</t>
  </si>
  <si>
    <t>Assesment  Sheet Auto generate है।आप OLD REGIME या NEW REGIME में से किसी एक का चुनाव option बटन  करे और आपके चुनाव अनुसार Assesment form  रिपोर्ट तैयार प्राप्त करे । OLD REGIME या NEW REGIME में तुलनात्मक कौनसा चुनाव आपके लिए बेहतर की रिपोर्ट भी आप COMAPARISSION के द्वारा देख सकते है।इसका प्रिंट लेना है।</t>
  </si>
  <si>
    <t>NON METRO</t>
  </si>
  <si>
    <t>SI</t>
  </si>
  <si>
    <t xml:space="preserve"> EMPLOYEE FROM MEDICAL DEP.,JUDICIARY DEP.POLICE CONSTABLE OR CLASS IV(L-1 TO L-4)</t>
  </si>
  <si>
    <t>NO</t>
  </si>
  <si>
    <t>MARCH CCA</t>
  </si>
  <si>
    <r>
      <t xml:space="preserve">10,00,000 </t>
    </r>
    <r>
      <rPr>
        <sz val="8"/>
        <rFont val="Kruti Dev 010"/>
      </rPr>
      <t>ls vf/kd</t>
    </r>
  </si>
  <si>
    <t>3,00,000 rd</t>
  </si>
  <si>
    <t>10,00,000 ls vf/kd</t>
  </si>
  <si>
    <t>category for tax calculation</t>
  </si>
  <si>
    <t xml:space="preserve">धारा 10(14) के अन्तर्गत अन्य भत्ते </t>
  </si>
  <si>
    <t xml:space="preserve"> जीवन बीमा प्रीमियम -LIC (जो वेतन से काटा गया )</t>
  </si>
  <si>
    <t>dqy ;ksx  ¼ 12 ls 19 rd ½</t>
  </si>
  <si>
    <r>
      <t xml:space="preserve">dqy dVkSrh </t>
    </r>
    <r>
      <rPr>
        <b/>
        <sz val="10"/>
        <rFont val="Arial"/>
        <family val="2"/>
      </rPr>
      <t>( 11 + 12 TO19)</t>
    </r>
  </si>
  <si>
    <t>GPF1</t>
  </si>
  <si>
    <t>GPF2</t>
  </si>
  <si>
    <t xml:space="preserve">                                  सुधार हेतु सुझाव  आमंत्रित  है </t>
  </si>
  <si>
    <t xml:space="preserve">                                         joshihansraj72@gmail.com</t>
  </si>
  <si>
    <t>MARCH</t>
  </si>
  <si>
    <t>APRIL</t>
  </si>
  <si>
    <t>MAY</t>
  </si>
  <si>
    <t>JUNE</t>
  </si>
  <si>
    <t>JULY</t>
  </si>
  <si>
    <t>AUGUST</t>
  </si>
  <si>
    <t>FEB</t>
  </si>
  <si>
    <t>SEPT</t>
  </si>
  <si>
    <t>OCT</t>
  </si>
  <si>
    <t>NOV</t>
  </si>
  <si>
    <t>DEC</t>
  </si>
  <si>
    <t>JAN</t>
  </si>
  <si>
    <t>MONTH NAME</t>
  </si>
  <si>
    <t xml:space="preserve"> वेतन से माहवार आयकर कटौती विवरण </t>
  </si>
  <si>
    <t>PAY &amp; ALLOWANCES</t>
  </si>
  <si>
    <t>सर्वप्रथम Refresh Salary बटन पर क्लिक कर आप द्वारा Data Entry शीट में भरे data अनुसार सैलरी शीट तैयार हो जाएगी ।यदि कोई बदलाव अपेक्षित है तो शीट मे आपकी आवश्यकता अनुसार कर सकते है।Refresh Salary बटन को क्लिक करने पर पुनः प्रारम्भिक अवस्था मे आ जाएगी । WHITE सेल में आवश्यकता अनुसार प्रविष्टि कर सकते है ।अन्य भत्ते एवं कटौती आप SALARY SHEET में MANUALLY कर सकते है।इसका प्रिंट लेना है ।</t>
  </si>
  <si>
    <t>अंशदान</t>
  </si>
  <si>
    <t>SN</t>
  </si>
  <si>
    <t>IF(C8&gt;167000,"10500",IF(C8&gt;116000,"8900",Q8</t>
  </si>
  <si>
    <t xml:space="preserve">HOW TO USE   </t>
  </si>
  <si>
    <t>SUM OF 80C</t>
  </si>
  <si>
    <t>80CCD(1B)</t>
  </si>
  <si>
    <t>80CCD 1</t>
  </si>
  <si>
    <t>80C EXCEED 1.5LAC</t>
  </si>
  <si>
    <r>
      <t>lkekU; izko/kk;h fuf/k ¼</t>
    </r>
    <r>
      <rPr>
        <sz val="12"/>
        <rFont val="Calibri"/>
        <family val="2"/>
        <scheme val="minor"/>
      </rPr>
      <t>GPF)/GPF2004</t>
    </r>
  </si>
  <si>
    <t>REVISED 80CCD1</t>
  </si>
  <si>
    <t>80CCD(1B) SPLIT FROM 80CCD1</t>
  </si>
  <si>
    <t>80CCD(1B) ADDITIONAL</t>
  </si>
  <si>
    <t xml:space="preserve"> </t>
  </si>
  <si>
    <t>यदि आप राज्य बीमा की अंशदान दो स्लैब आगे तक करते है तो "YES" का चयन करे और प्रीमियम  भरे अन्यथा "NO" चुने प्रीमियम को खाली छोड़े</t>
  </si>
  <si>
    <t>T29&gt;50000,50000-T28,U29</t>
  </si>
  <si>
    <r>
      <t>आप अपनी आवश्यकता अनुसार सैलरी शीट की UNLOCKED CELL मे बदलाव कर सकते है तथा REFRESH SALARY बटन पर क्लिक कर पुनः प्रारम्भिक स्थिति मे आ सकते है।</t>
    </r>
    <r>
      <rPr>
        <b/>
        <sz val="12"/>
        <color rgb="FFFF0000"/>
        <rFont val="Arial"/>
        <family val="2"/>
      </rPr>
      <t xml:space="preserve"> </t>
    </r>
  </si>
  <si>
    <t>हस्ताक्षर कार्मिक</t>
  </si>
  <si>
    <t xml:space="preserve">नाम कार्मिक </t>
  </si>
  <si>
    <t>पद</t>
  </si>
  <si>
    <t>गृह किराया, धारा 10(13-।) के अन्तर्गत एवं धारा 10(14)के अन्तगर्त अन्य भते जो कर मुक्त्त है</t>
  </si>
  <si>
    <t xml:space="preserve">                                                              शेष (2-3)</t>
  </si>
  <si>
    <t xml:space="preserve"> (i)मनोरंजन भता धारा 16 (ii) के अन्तगर्त ( अधिकतम सीमा रू 5000 )</t>
  </si>
  <si>
    <t xml:space="preserve"> (ii) व्यवयाय कर धारा 16 (iii) के अन्तगर्त</t>
  </si>
  <si>
    <r>
      <t xml:space="preserve"> (iii) स्टेण्डर्ड डिडेक्शन(Standard Deduction)</t>
    </r>
    <r>
      <rPr>
        <sz val="11"/>
        <rFont val="DevLys 010"/>
      </rPr>
      <t xml:space="preserve"> </t>
    </r>
    <r>
      <rPr>
        <sz val="11"/>
        <rFont val="Cambria"/>
        <family val="1"/>
        <scheme val="major"/>
      </rPr>
      <t xml:space="preserve"> 50,000 (अधिकतम)</t>
    </r>
  </si>
  <si>
    <t xml:space="preserve">                                                          शेष (4-5)</t>
  </si>
  <si>
    <t>(2) प्राप्त किराया रु.</t>
  </si>
  <si>
    <t>(अ)गृह सम्पति से आय : (1) स्वंय के उपयोग में    -शून्य</t>
  </si>
  <si>
    <t xml:space="preserve">(ब) घटायें </t>
  </si>
  <si>
    <t xml:space="preserve">  किराये का 30%</t>
  </si>
  <si>
    <t xml:space="preserve"> गृह ऋण पर ब्याज </t>
  </si>
  <si>
    <t xml:space="preserve"> गृहकर  </t>
  </si>
  <si>
    <t xml:space="preserve">  योग 7(ब) </t>
  </si>
  <si>
    <t xml:space="preserve">                                                         शेष -/+ (7(अ) एवं योग 7(ब) का)       </t>
  </si>
  <si>
    <t xml:space="preserve">                                                              कुल शेष -/+ (6एवं 7)       </t>
  </si>
  <si>
    <t xml:space="preserve">बचत खाते पर ब्याज </t>
  </si>
  <si>
    <t xml:space="preserve">अन्य आय </t>
  </si>
  <si>
    <r>
      <t xml:space="preserve">घटाइये कटौतियाँ:- धारा </t>
    </r>
    <r>
      <rPr>
        <b/>
        <sz val="12"/>
        <rFont val="Arial"/>
        <family val="2"/>
      </rPr>
      <t xml:space="preserve"> </t>
    </r>
    <r>
      <rPr>
        <b/>
        <sz val="12"/>
        <rFont val="Calibri"/>
        <family val="2"/>
        <scheme val="minor"/>
      </rPr>
      <t xml:space="preserve">US </t>
    </r>
    <r>
      <rPr>
        <b/>
        <sz val="10"/>
        <rFont val="Arial"/>
        <family val="2"/>
      </rPr>
      <t>80C, 80CCC,80CCD (1)</t>
    </r>
  </si>
  <si>
    <t xml:space="preserve">(A) अधिकतम सीमा 1,50,000/- (धारा  80CCE ] (धारा 80CCD (2)) के अलावा </t>
  </si>
  <si>
    <t xml:space="preserve">राष्ट्रीय बचत पत्र पर अदत ब्याज </t>
  </si>
  <si>
    <t>पेंशन प्लान हेतु अंशदान (धारा 80CCC)</t>
  </si>
  <si>
    <r>
      <t>जीवन बीमा प्रीमियम(</t>
    </r>
    <r>
      <rPr>
        <sz val="12"/>
        <rFont val="Calibri"/>
        <family val="2"/>
        <scheme val="minor"/>
      </rPr>
      <t>LIC)</t>
    </r>
  </si>
  <si>
    <r>
      <t>राज्य बीमा  (</t>
    </r>
    <r>
      <rPr>
        <sz val="12"/>
        <rFont val="Cambria"/>
        <family val="1"/>
        <scheme val="major"/>
      </rPr>
      <t>SI</t>
    </r>
    <r>
      <rPr>
        <sz val="10"/>
        <rFont val="Cambria"/>
        <family val="1"/>
        <scheme val="major"/>
      </rPr>
      <t>)</t>
    </r>
  </si>
  <si>
    <t>राष्ट्रीय बचत पत्र (NSC)</t>
  </si>
  <si>
    <t>लोक भविष्य निधि (PPF)</t>
  </si>
  <si>
    <t>टयूशन फीस</t>
  </si>
  <si>
    <t>इक्विटी लिंक सेविंग स्कीम</t>
  </si>
  <si>
    <r>
      <t>स्थगित वार्षिकी (</t>
    </r>
    <r>
      <rPr>
        <sz val="10"/>
        <rFont val="Cambria"/>
        <family val="1"/>
        <scheme val="major"/>
      </rPr>
      <t>Defferred Annuty)</t>
    </r>
  </si>
  <si>
    <r>
      <t>सामूहिक बीमा प्रीमियम (</t>
    </r>
    <r>
      <rPr>
        <sz val="12"/>
        <rFont val="Cambria"/>
        <family val="1"/>
        <scheme val="major"/>
      </rPr>
      <t>G.Ins.)</t>
    </r>
  </si>
  <si>
    <r>
      <t xml:space="preserve">पी.एल.आई. </t>
    </r>
    <r>
      <rPr>
        <sz val="10"/>
        <rFont val="DevLys 010"/>
      </rPr>
      <t>¼</t>
    </r>
    <r>
      <rPr>
        <sz val="10"/>
        <rFont val="Calibri"/>
        <family val="2"/>
        <scheme val="minor"/>
      </rPr>
      <t>PLI)</t>
    </r>
  </si>
  <si>
    <t>यू. एल. आई. पी./वार्षिक प्लान</t>
  </si>
  <si>
    <t xml:space="preserve">अन्य जमाराशि (धारा 80 सी के अन्तर्गत) </t>
  </si>
  <si>
    <r>
      <t xml:space="preserve">गृह ऋण किस्त </t>
    </r>
    <r>
      <rPr>
        <sz val="10"/>
        <rFont val="DevLys 010"/>
      </rPr>
      <t>¼</t>
    </r>
    <r>
      <rPr>
        <sz val="10"/>
        <rFont val="Calibri"/>
        <family val="2"/>
        <scheme val="minor"/>
      </rPr>
      <t>HBA Premium)</t>
    </r>
  </si>
  <si>
    <t>सुकन्या समृद्धि योजना में जमा राशि</t>
  </si>
  <si>
    <r>
      <rPr>
        <b/>
        <sz val="12"/>
        <rFont val="DevLys 010"/>
      </rPr>
      <t xml:space="preserve">योग </t>
    </r>
    <r>
      <rPr>
        <b/>
        <sz val="12"/>
        <rFont val="Times New Roman"/>
        <family val="1"/>
      </rPr>
      <t xml:space="preserve"> [(</t>
    </r>
    <r>
      <rPr>
        <b/>
        <sz val="12"/>
        <rFont val="Cambria"/>
        <family val="1"/>
        <scheme val="major"/>
      </rPr>
      <t>i) से  (xviii)]</t>
    </r>
  </si>
  <si>
    <t xml:space="preserve">                        अधिकतम कटौती की राशि 1.50 लाख रुपए तक</t>
  </si>
  <si>
    <t>(B) घटाइये- धारा 80CCD(2) नियोक्ता द्वारा पेंशन अंशदान की राशि (अधिकतम वेतन का 10% पृथक से छूट)</t>
  </si>
  <si>
    <r>
      <rPr>
        <sz val="10"/>
        <rFont val="Arial"/>
        <family val="2"/>
      </rPr>
      <t>(C)</t>
    </r>
    <r>
      <rPr>
        <sz val="12"/>
        <rFont val="Arial"/>
        <family val="2"/>
      </rPr>
      <t xml:space="preserve"> </t>
    </r>
    <r>
      <rPr>
        <sz val="11"/>
        <rFont val="DevLys 010"/>
      </rPr>
      <t xml:space="preserve">घटाइये </t>
    </r>
    <r>
      <rPr>
        <sz val="11"/>
        <rFont val="Cambria"/>
        <family val="1"/>
        <scheme val="major"/>
      </rPr>
      <t>-धारा 80 CCD(1B) नवीन पेंशन योजना में अतिरिक्त अंशदान (अधिकतम रू. 50,000)</t>
    </r>
  </si>
  <si>
    <t xml:space="preserve"> अन्य कटौतियाँ</t>
  </si>
  <si>
    <t>धारा 80 D ,चिकित्सा बीमा प्रीमियम (स्वयं,पति/पत्नी व बच्चों के लिए रू 25000, माता-पिता के लिए रू 25000,सीनियर सिटीजन रू 50000)</t>
  </si>
  <si>
    <t xml:space="preserve">धारा 80DD विकलांग आश्रितों के चिकित्सा उपचार (अधिकतम 75,000 तथा 80%या अधिक विकलांगता 125,000)   </t>
  </si>
  <si>
    <t>धारा 80DDB विशिष्ट रोंगों के उपचार हेतु कटौती (अधिकतम रू 40,000, सीनियर सिटीजन हेतु रू 100,000)</t>
  </si>
  <si>
    <t xml:space="preserve">धारा 80E उच्च शिक्षा हेतु लिए ऋण का ब्याज </t>
  </si>
  <si>
    <t>धारा 80G धर्मार्थ संस्थाओं आदि को दिये दान ( क श्रेणी में 100 प्रतिशत एवं ख श्रेणी में 50 प्रतिशत)</t>
  </si>
  <si>
    <t>धारा 80U स्थाई रूप से शारीरिक असमर्थतता की दशा में (अधिकतम 75,000 तथा  अधिनियम 1995के अनुसार 125,000)</t>
  </si>
  <si>
    <t xml:space="preserve">धारा 80 TTA बचत खाते पर अधिकतम ब्याज रू. 10,000  </t>
  </si>
  <si>
    <t>धारा 80 TTB वरिष्ठ नागरिकों को सभी ब्याज पर अधिकतम 50000रू.</t>
  </si>
  <si>
    <t xml:space="preserve">धारा 80 GGA अनुमोदित वैज्ञानिक, सामाजिक, ग्रामीण विकास आदि हेतु दिया गया दान </t>
  </si>
  <si>
    <t>कुल आय की राशि को सम्पूर्ण करना ( दस के गुणक में ) धारा 288A</t>
  </si>
  <si>
    <t xml:space="preserve"> आयकर की गणना  उपरोक्त कॉलम 15 के आधार पर </t>
  </si>
  <si>
    <t>एक व्यक्ति कर दाता</t>
  </si>
  <si>
    <t>वरिष्ठ नागरिक (60 से 80 वर्ष तक)</t>
  </si>
  <si>
    <t>80 वर्ष या अधिक आयु</t>
  </si>
  <si>
    <t xml:space="preserve">250000 तक </t>
  </si>
  <si>
    <r>
      <t>10,00,000</t>
    </r>
    <r>
      <rPr>
        <sz val="8"/>
        <rFont val="DevLys 010"/>
      </rPr>
      <t xml:space="preserve"> से अधिक</t>
    </r>
  </si>
  <si>
    <t>3,00,000 तक</t>
  </si>
  <si>
    <t>10,00,000 से अधिक</t>
  </si>
  <si>
    <r>
      <t xml:space="preserve">10,00,000 </t>
    </r>
    <r>
      <rPr>
        <sz val="8"/>
        <rFont val="DevLys 010"/>
      </rPr>
      <t>से अधिक</t>
    </r>
  </si>
  <si>
    <r>
      <t xml:space="preserve">5,00,000 </t>
    </r>
    <r>
      <rPr>
        <sz val="9"/>
        <rFont val="DevLys 010"/>
      </rPr>
      <t>तक</t>
    </r>
  </si>
  <si>
    <t xml:space="preserve">(1) योग आयकर </t>
  </si>
  <si>
    <t xml:space="preserve">(3) शेष आयकर (1-2) </t>
  </si>
  <si>
    <t xml:space="preserve">(4) शिक्षा उपकर 2% एवं उच्च शिक्षा के लिए अधिभार 2%  (योग 4%)  </t>
  </si>
  <si>
    <t xml:space="preserve">                                                             कुल आयकर (3+4)</t>
  </si>
  <si>
    <t xml:space="preserve">                                                             घटाइये :- राहत धारा 89 के तहत </t>
  </si>
  <si>
    <t xml:space="preserve">                                                            कुल शेष आयकर</t>
  </si>
  <si>
    <t>स्रोत पर आयकर कटौती
 का विवरण</t>
  </si>
  <si>
    <t>TDS योग</t>
  </si>
  <si>
    <t xml:space="preserve">हस्ताक्षर कार्मिक </t>
  </si>
  <si>
    <t>रु.</t>
  </si>
  <si>
    <t>All India Services</t>
  </si>
  <si>
    <t xml:space="preserve">योग 12(A+B+C)      </t>
  </si>
  <si>
    <t>सकल आय                                                            योग (8+9+10)</t>
  </si>
  <si>
    <t>कुल कटौती (12+13)</t>
  </si>
  <si>
    <r>
      <t>कर योग्य आय(11-14)</t>
    </r>
    <r>
      <rPr>
        <sz val="10"/>
        <rFont val="Arial"/>
        <family val="2"/>
      </rPr>
      <t>)</t>
    </r>
  </si>
  <si>
    <t>Govt.NPS</t>
  </si>
  <si>
    <t>GOVT NPS</t>
  </si>
  <si>
    <t>FIX PAY MONTH</t>
  </si>
  <si>
    <t>HITKARI NIDHI</t>
  </si>
  <si>
    <t xml:space="preserve">वर्ष में आपको  FIX PAY वेतन मिला है तो "YES" अन्यथा "NO"का चयन करें </t>
  </si>
  <si>
    <t>1. SALARY SHEET AVAILABLE AS PER PD EMPLOYEE GA 55</t>
  </si>
  <si>
    <t>​2.​ FOR NPS EMPLOYEE 80 CCD(1) AUTO SPLIT OPTION FOR GET BENIFIT U/S 80CDD(1B) FROM EMPLOYEE CONTRIBUTION</t>
  </si>
  <si>
    <t>5. YEARLY /PARTIALLY HRA REBATE RELETED OPTION</t>
  </si>
  <si>
    <t>DEFFERD RELEASE PAY</t>
  </si>
  <si>
    <t>MARCH R PAY</t>
  </si>
  <si>
    <t>OTHER</t>
  </si>
  <si>
    <t>HANS RAJ JOSHI</t>
  </si>
  <si>
    <t xml:space="preserve">यदि आपने अन्य कोई एरिअर का भुगतान उठाया है तो Salary शीट के अंतिम Unlocked पंक्ति में लिखे </t>
  </si>
  <si>
    <t>MARCH SUR</t>
  </si>
  <si>
    <t>7.IF ASSESSEE PAY SI PREMIUM UPTO NEXT TWO SLAB THAN FILL OPTION PROVIDE IN DATA ENTRY SHEET</t>
  </si>
  <si>
    <t>​3.​MORE OPTION PROVIDE FOR FIX PAY EMPLOYEE DURING FY 2021-22</t>
  </si>
  <si>
    <t>RGHS</t>
  </si>
  <si>
    <t>RGHS FOR NPS</t>
  </si>
  <si>
    <t>माह</t>
  </si>
  <si>
    <t xml:space="preserve">वेतन एवं अन्य अतिरिक्त कटौतियों,अन्य आय /जमा राशि एवं छूट का विवरण </t>
  </si>
  <si>
    <t xml:space="preserve">KEY FEATURES </t>
  </si>
  <si>
    <t xml:space="preserve">8 AUTO RGHS DEDUCTION AS PER DEDUCTION MONTH PROVIDED FOR NPS EMPLOYEE </t>
  </si>
  <si>
    <t>DISCLAIMER  :---यद्यपि इस आयकर आकलन प्रोग्राम तैयार करने में पूर्ण सावधानी बरती गई है फिर भी किसी भूल चूक के लिए तैयार कर्ता उत्तरदायी नहीं है अंतिम रूप आयकर विभाग के नियम लागू एवं मान्य होंगे। You are encouraged to consult your Accountant or Advisor before taking any decesion based on this calculator</t>
  </si>
  <si>
    <t>माह क्रमांक</t>
  </si>
  <si>
    <t>मूल वेतन</t>
  </si>
  <si>
    <t>बोनस मिला है  तो "Yes" अन्यथा  "No" चुने और कितने माह का मिला है चयन करें</t>
  </si>
  <si>
    <t xml:space="preserve">SELECT CITY </t>
  </si>
  <si>
    <t xml:space="preserve">CCA लागू है तो "Yes " अन्यथा "No" ड्रॉपडाउन से चुने और CITY SELECT करें </t>
  </si>
  <si>
    <t>NPS/GPF Ded</t>
  </si>
  <si>
    <t>Pay &amp; Allowancess Details</t>
  </si>
  <si>
    <t>Deductions and Investments Details</t>
  </si>
  <si>
    <t>IF YOU ARE NOT ELIGIBLE TO GET HRA EXEMPTION FOR COMPLETE YEAR THEN CHOOSE PARTIALLY</t>
  </si>
  <si>
    <t>ITAX</t>
  </si>
  <si>
    <t>LIC SALARY</t>
  </si>
  <si>
    <t xml:space="preserve">( 7वें वेतन आयोग के अनुसार ) </t>
  </si>
  <si>
    <r>
      <rPr>
        <sz val="12"/>
        <color rgb="FFC00000"/>
        <rFont val="Times New Roman"/>
        <family val="1"/>
      </rPr>
      <t>HRA</t>
    </r>
    <r>
      <rPr>
        <sz val="16"/>
        <color rgb="FFC00000"/>
        <rFont val="Times New Roman"/>
        <family val="1"/>
      </rPr>
      <t xml:space="preserve"> दर</t>
    </r>
  </si>
  <si>
    <t xml:space="preserve">No </t>
  </si>
  <si>
    <t>अन्य भत्ते</t>
  </si>
  <si>
    <t>10(14)+16(iii)</t>
  </si>
  <si>
    <t>1.Gen Info Sheet :-</t>
  </si>
  <si>
    <r>
      <t xml:space="preserve">   1. First </t>
    </r>
    <r>
      <rPr>
        <u/>
        <sz val="16"/>
        <color rgb="FFFF0000"/>
        <rFont val="Calibri"/>
        <family val="2"/>
        <scheme val="minor"/>
      </rPr>
      <t xml:space="preserve">Enable Macro </t>
    </r>
    <r>
      <rPr>
        <sz val="16"/>
        <color rgb="FFFF0000"/>
        <rFont val="Calibri"/>
        <family val="2"/>
        <scheme val="minor"/>
      </rPr>
      <t xml:space="preserve">whenever open file               2 Save as always in  Excel Macro-Enabled Workbook (*.xlsm)    </t>
    </r>
  </si>
  <si>
    <t>Gen Info शीट में कार्मिक की सामान्य सूचना, भरना है।शीट में महत्वपूर्ण स्थान पर आवश्यक निर्देश दिये गए है।वेतन से income tax कटौती को आपको manually MONTHLY भरना है।</t>
  </si>
  <si>
    <t>2.PAY &amp; Allowances Sheet :-</t>
  </si>
  <si>
    <t>3. Deductions SHEET</t>
  </si>
  <si>
    <t xml:space="preserve"> 5. Salary Sheet</t>
  </si>
  <si>
    <t>6. Assesment  sheet</t>
  </si>
  <si>
    <t>OTHER INCOME</t>
  </si>
  <si>
    <r>
      <rPr>
        <b/>
        <sz val="10"/>
        <color rgb="FF002060"/>
        <rFont val="Times New Roman"/>
        <family val="1"/>
      </rPr>
      <t xml:space="preserve">SURRENDER OF PL का भुगतान उठाया है तो "Yes",अन्यथा "No" चुने व जिस माह में भुगतान लिया है का क्रमांक चुने  
</t>
    </r>
  </si>
  <si>
    <r>
      <t xml:space="preserve"> वरिष्ठ नागरिकों को बचत खाते एवं स्थायी जमा खाते से प्राप्त ब्याज धारा (80TTB) </t>
    </r>
    <r>
      <rPr>
        <sz val="8"/>
        <rFont val="DevLys 010"/>
      </rPr>
      <t xml:space="preserve"> </t>
    </r>
  </si>
  <si>
    <t>Deduction और Investment की एंट्री इस शीट मे करनी है ।अगर किसी प्रकार की अन्य आय को शामिल करना चाहते है तो CELL E6 मे एंट्री करनी है। SI कटौती ,80CCD1(B),RGHS एवं BONUS से संबन्धित विशेष सुविधा शीट के अंत मे आवश्यक दिशानिर्देश सहित दी गई है।</t>
  </si>
  <si>
    <t>यदि आप HRA छूट के लिए पात्र है तो सेल F5 मे आप द्वारा भुगतान किए गए किराये की राशि भरे ।complete  year के लिए HRA छूट के लिए पात्र नहीं है और   Partially HRA की छूट लेना चाहते है तो इस शीट में जिन महीनों के लिए छूट प्राप्त करना चाहते है उनके सामने "YES" चुने और Data Entry Sheet मे Dropdown से "Partially" चुने तथा Data Entry Sheet में B15 cell मे आप द्वारा भुगतान किए गए किराये की राशि भरे। नियमानुसार छूट Auto generate हो जाएगी।आप द्वारा अधिकतम छूट के लिए कितने किराए की रसीद आवश्यक है भी Auto Generate हो जाएगी।</t>
  </si>
  <si>
    <t>PER MONTH TDS REQUIRED</t>
  </si>
  <si>
    <r>
      <t xml:space="preserve"> वेतन से माहवार राज्य बीमा कटौती आगे में की दो स्लैब तक अंशदान ,</t>
    </r>
    <r>
      <rPr>
        <b/>
        <i/>
        <sz val="14"/>
        <color rgb="FFFF0000"/>
        <rFont val="Cambria"/>
        <family val="1"/>
        <scheme val="major"/>
      </rPr>
      <t>80CCD(1B) SPLIT,RGHS, BONUS</t>
    </r>
    <r>
      <rPr>
        <b/>
        <i/>
        <sz val="18"/>
        <color rgb="FFFF0000"/>
        <rFont val="Cambria"/>
        <family val="1"/>
        <scheme val="major"/>
      </rPr>
      <t xml:space="preserve"> का विवरण </t>
    </r>
  </si>
  <si>
    <r>
      <t xml:space="preserve">
 </t>
    </r>
    <r>
      <rPr>
        <b/>
        <sz val="14"/>
        <color theme="1"/>
        <rFont val="Cambria"/>
        <family val="1"/>
        <scheme val="major"/>
      </rPr>
      <t xml:space="preserve">मकान किराये का वास्तविक भुगतान  </t>
    </r>
    <r>
      <rPr>
        <b/>
        <sz val="8"/>
        <color theme="1"/>
        <rFont val="Cambria"/>
        <family val="1"/>
        <scheme val="major"/>
      </rPr>
      <t>( FOR HRA EXEMPTION )</t>
    </r>
  </si>
  <si>
    <t xml:space="preserve">HRA exemption </t>
  </si>
  <si>
    <t>Programmed by Hans Raj Joshi</t>
  </si>
  <si>
    <t>Principal</t>
  </si>
  <si>
    <t>Yes</t>
  </si>
  <si>
    <t>GPF2004</t>
  </si>
  <si>
    <t>No</t>
  </si>
  <si>
    <t>CALCULATION OF RELIEF UNDER SECTION 89 (1)</t>
  </si>
  <si>
    <t>1- loZizFke vius ,fj;j dks xr foÙkh; o"kksZa ds vuqlkj foHkkftr djsaA</t>
  </si>
  <si>
    <t>NAME</t>
  </si>
  <si>
    <t>ADDRESS</t>
  </si>
  <si>
    <t>PAN</t>
  </si>
  <si>
    <t>CATEGORY</t>
  </si>
  <si>
    <t>FINANCIAL YEAR- 2017-18</t>
  </si>
  <si>
    <t xml:space="preserve">3- dj ;ksX; vk; og vk; gS ftl ij ml foÙkh; o"kZ esa fu/kkZfjr vk;dj nj ls vk;dj dh x.kuk dh tkrh gSA </t>
  </si>
  <si>
    <t xml:space="preserve">Enter net taxable income for 2017-18 (as per ITR/Form-16) </t>
  </si>
  <si>
    <t>Enter arrears relates to 2017-18</t>
  </si>
  <si>
    <t>FINANCIAL YEAR- 2018-19</t>
  </si>
  <si>
    <t xml:space="preserve">Enter net taxable income for 2018-19 (as per ITR/Form-16) </t>
  </si>
  <si>
    <t>Enter arrears relates to 2018-19</t>
  </si>
  <si>
    <t>FINANCIAL YEAR- 2019-20</t>
  </si>
  <si>
    <t xml:space="preserve">Enter net taxable income for 2019-20 (as per ITR/Form-16) </t>
  </si>
  <si>
    <t>Enter arrears relates to 2019-20</t>
  </si>
  <si>
    <t>FINANCIAL YEAR- 2020-21</t>
  </si>
  <si>
    <t xml:space="preserve">Enter net taxable income for 2020-21 (as per ITR/Form-16) </t>
  </si>
  <si>
    <t>Enter arrears relates to 2020-21</t>
  </si>
  <si>
    <t>FORM NO. 10 E (See rule 21AA)</t>
  </si>
  <si>
    <t>Name</t>
  </si>
  <si>
    <t>Address</t>
  </si>
  <si>
    <t>Status</t>
  </si>
  <si>
    <t xml:space="preserve">Indian Resident </t>
  </si>
  <si>
    <t>(b) Payment in the nature of gratuity in respect of past services, extending over a period of not less than 5 years in accordance with the provisions of sub-rule (3) of rule 21A</t>
  </si>
  <si>
    <t xml:space="preserve">Not applicable </t>
  </si>
  <si>
    <t>(c) Payment in the nature of compensation from the employer or former employer at or in connection with termination of employment after continuous service of not less than 3 years in accordance with the provisions of sub-rule (4) of rule 21A</t>
  </si>
  <si>
    <t>(d) Payment in commutation of pension in accordance with the provisions of sub-rule (5) of rule 21A</t>
  </si>
  <si>
    <t xml:space="preserve">2. Detailed particulars of payments referred to above may be given in Annexure I, II, IIA, III or IV as the case may be </t>
  </si>
  <si>
    <t>Annexure- I</t>
  </si>
  <si>
    <t xml:space="preserve">Verification </t>
  </si>
  <si>
    <t xml:space="preserve">I do hereby declare that what is stated above is true to the best of my knowledge and belief. Verified today </t>
  </si>
  <si>
    <t>Date:</t>
  </si>
  <si>
    <t>Signature of the employee</t>
  </si>
  <si>
    <t>ANNEXURE - I</t>
  </si>
  <si>
    <t xml:space="preserve">1. Total net taxable Income excluding Salary received in Arrears or advance </t>
  </si>
  <si>
    <t>2. salary received in arrears or advance</t>
  </si>
  <si>
    <t>3. Total Income (as increased by salary received in arrears or advance) (Add item 1 and item 2)</t>
  </si>
  <si>
    <t>4. Tax on total income (as per item 3)</t>
  </si>
  <si>
    <t>5. Tax on total income (as per item 1)</t>
  </si>
  <si>
    <t>6. Tax on salary received in arrears or advance (Difference of item 4 and item 5)</t>
  </si>
  <si>
    <t>7. Tax computed in accordance with Table "A" (Brought from column 7 of Table "A")</t>
  </si>
  <si>
    <t>8. Relief under section 89 (1) (Indicate the difference between the amounts mentioned against items 6 and 7)</t>
  </si>
  <si>
    <t>TABLE "A"  (See item 7 of Annexure I)</t>
  </si>
  <si>
    <t>Previous Year(s)</t>
  </si>
  <si>
    <t xml:space="preserve">Total Net Taxable income of the relevant previous year </t>
  </si>
  <si>
    <t>salary received in arrears or advance relating to the relevant previous year as mentioned in col. (1)</t>
  </si>
  <si>
    <t>Total income (as increased by salry received in arrears or advance) or the relevant previous year mentioned in col. (1) (Add col. 2 and 3)</t>
  </si>
  <si>
    <t>Tax on total income (as per col. 2)</t>
  </si>
  <si>
    <t>Tax on total income (as per col. 4)</t>
  </si>
  <si>
    <t>Difference in tax (Amount under col. 6 minus amount under col. 5)</t>
  </si>
  <si>
    <t>2017-18</t>
  </si>
  <si>
    <t>2018-19</t>
  </si>
  <si>
    <t>2019-20</t>
  </si>
  <si>
    <t>year</t>
  </si>
  <si>
    <t>amount</t>
  </si>
  <si>
    <t>surcharge</t>
  </si>
  <si>
    <t>edu. cess</t>
  </si>
  <si>
    <t>OLD TAX REGIME</t>
  </si>
  <si>
    <t>NEW TAX REGIME</t>
  </si>
  <si>
    <t>2020-21</t>
  </si>
  <si>
    <t>Tax on income including arrears</t>
  </si>
  <si>
    <t>2021-22</t>
  </si>
  <si>
    <t>FINANCIAL YEAR- 2021-22</t>
  </si>
  <si>
    <t>Select Regime Type</t>
  </si>
  <si>
    <t>Tax on income excluding arrears</t>
  </si>
  <si>
    <r>
      <t xml:space="preserve">INCOME </t>
    </r>
    <r>
      <rPr>
        <b/>
        <sz val="10"/>
        <color rgb="FF002060"/>
        <rFont val="Rupee Foradian"/>
      </rPr>
      <t>( Rs )</t>
    </r>
  </si>
  <si>
    <r>
      <t xml:space="preserve">2- vc lEcfU/kr foÙkh; o"kksZa ds QkWeZ 16 vFkok </t>
    </r>
    <r>
      <rPr>
        <b/>
        <sz val="12"/>
        <color theme="1"/>
        <rFont val="Times New Roman"/>
        <family val="1"/>
      </rPr>
      <t>ITR</t>
    </r>
    <r>
      <rPr>
        <b/>
        <sz val="12"/>
        <color theme="1"/>
        <rFont val="DevLys 010"/>
      </rPr>
      <t xml:space="preserve"> ls dj ;ksX; vk; dks lEcfU/kr lsYl esa Hkjuk gSA</t>
    </r>
  </si>
  <si>
    <r>
      <t xml:space="preserve">4- vc bl QkWeZ esa lEcfU/kr foÙkh; o"kZ  dh dj ;ksX; vk; ,oa ml o"kZ ls lEcfU/kr ,fj;j dh jkf'k HkjsaA /;ku jgs foÙkh; o"kZ 2021&amp;22 ds fy, Hkjh x;h dj ;ksX; vk; esa lEiw.kZ ,fj;j dh jkf'k tqMh gksA vc vxyh 'khV </t>
    </r>
    <r>
      <rPr>
        <b/>
        <sz val="12"/>
        <color theme="1"/>
        <rFont val="Times New Roman"/>
        <family val="1"/>
      </rPr>
      <t>'form10E'</t>
    </r>
    <r>
      <rPr>
        <b/>
        <sz val="12"/>
        <color theme="1"/>
        <rFont val="DevLys 010"/>
      </rPr>
      <t xml:space="preserve"> esa </t>
    </r>
    <r>
      <rPr>
        <b/>
        <sz val="12"/>
        <color theme="1"/>
        <rFont val="Times New Roman"/>
        <family val="1"/>
      </rPr>
      <t>'</t>
    </r>
    <r>
      <rPr>
        <b/>
        <sz val="10"/>
        <color theme="1"/>
        <rFont val="Times New Roman"/>
        <family val="1"/>
      </rPr>
      <t xml:space="preserve">GENERATE FORM 10E' </t>
    </r>
    <r>
      <rPr>
        <b/>
        <sz val="12"/>
        <color theme="1"/>
        <rFont val="DevLys 010"/>
      </rPr>
      <t xml:space="preserve">cVu nckdj QkWeZ </t>
    </r>
    <r>
      <rPr>
        <b/>
        <sz val="12"/>
        <color theme="1"/>
        <rFont val="Times New Roman"/>
        <family val="1"/>
      </rPr>
      <t>10E, Generate</t>
    </r>
    <r>
      <rPr>
        <b/>
        <sz val="12"/>
        <color theme="1"/>
        <rFont val="DevLys 010"/>
      </rPr>
      <t xml:space="preserve"> djsaA izkIr NwV dh jkf'k dks </t>
    </r>
    <r>
      <rPr>
        <b/>
        <sz val="12"/>
        <color theme="1"/>
        <rFont val="Times New Roman"/>
        <family val="1"/>
      </rPr>
      <t>'deduction'</t>
    </r>
    <r>
      <rPr>
        <b/>
        <sz val="12"/>
        <color theme="1"/>
        <rFont val="DevLys 010"/>
      </rPr>
      <t xml:space="preserve"> 'khV esa lsy </t>
    </r>
    <r>
      <rPr>
        <b/>
        <sz val="12"/>
        <color theme="1"/>
        <rFont val="Times New Roman"/>
        <family val="1"/>
      </rPr>
      <t>Q20</t>
    </r>
    <r>
      <rPr>
        <b/>
        <sz val="12"/>
        <color theme="1"/>
        <rFont val="DevLys 010"/>
      </rPr>
      <t xml:space="preserve"> esa /kkjk </t>
    </r>
    <r>
      <rPr>
        <b/>
        <sz val="12"/>
        <color theme="1"/>
        <rFont val="Times New Roman"/>
        <family val="1"/>
      </rPr>
      <t xml:space="preserve">89(1) </t>
    </r>
    <r>
      <rPr>
        <b/>
        <sz val="12"/>
        <color theme="1"/>
        <rFont val="DevLys 010"/>
      </rPr>
      <t xml:space="preserve">ds rgr jkgr esa HkjsaA </t>
    </r>
  </si>
  <si>
    <t>For FY 2020-21</t>
  </si>
  <si>
    <t>IF($B3&gt;1000000, 112500+($B3-1000000)*0.3, IF($$B3&gt;500000, 12500+($B3-500000)*0.2, IF($B3&gt;250000, ($B3-250000)*0.05, 0)))</t>
  </si>
  <si>
    <t>IF($B3&lt;350001,G3-MIN(G3,2500),G3)</t>
  </si>
  <si>
    <t>IF($B4&gt;1000000, 112500+($B4-1000000)*0.3, IF($$B4&gt;500000, 12500+($B4-500000)*0.2, IF($B4&gt;250000, ($B4-250000)*0.05, 0)))</t>
  </si>
  <si>
    <t>IF($B4&lt;350001,G4-MIN(G4,2500),G4)</t>
  </si>
  <si>
    <t>IF($B5&gt;1000000, 112500+($B5-1000000)*0.3, IF($B5&gt;500000, 12500+($B5-500000)*0.2, IF($B5&gt;250000, ($B5-250000)*0.05, 0)))</t>
  </si>
  <si>
    <t>IF(B5&lt;500001,G5-MIN(G5,12500),G5)</t>
  </si>
  <si>
    <t>FINANCIAL YEAR- 2016-17</t>
  </si>
  <si>
    <t xml:space="preserve">Enter net taxable income for 2016-17 (as per ITR/Form-16) </t>
  </si>
  <si>
    <t>Enter arrears relates to 2016-17</t>
  </si>
  <si>
    <t>2016-17</t>
  </si>
  <si>
    <t>2017-17</t>
  </si>
  <si>
    <t>IF($B3&gt;1000000, 125000+($B3-1000000)*0.3, IF($B3&gt;500000, 25000+($B3-500000)*0.2, IF($B3&gt;250000, ($B3-250000)*0.1, 0)))</t>
  </si>
  <si>
    <t>IF(B3&lt;500001,G3-MIN(G3,5000),G3)</t>
  </si>
  <si>
    <t>Name and address of the employer</t>
  </si>
  <si>
    <t>PAN of the Employee</t>
  </si>
  <si>
    <t>Verification</t>
  </si>
  <si>
    <t>DETAILS OF SALARY PAID AND ANY OTHER INCOME AND TAX DEDUCTED</t>
  </si>
  <si>
    <t>Gross Amount</t>
  </si>
  <si>
    <t>(a)</t>
  </si>
  <si>
    <t>(b)</t>
  </si>
  <si>
    <t>Certificate No.</t>
  </si>
  <si>
    <t>Last Updated On</t>
  </si>
  <si>
    <t>FORM NO. 16</t>
  </si>
  <si>
    <t>[(See Rule 31(1)(a)]</t>
  </si>
  <si>
    <t>PART-A</t>
  </si>
  <si>
    <t>Certificate uner section 203 of the income-tax act, 1961 for tax deducted at source on Salary.</t>
  </si>
  <si>
    <t>Name and adress of the employee</t>
  </si>
  <si>
    <t>PAN of the Deductor</t>
  </si>
  <si>
    <t>TAN of Deductor</t>
  </si>
  <si>
    <t>Employee Ref No.</t>
  </si>
  <si>
    <t>CIT (TDS)</t>
  </si>
  <si>
    <t>Assess. Year</t>
  </si>
  <si>
    <t>Peroid with the Employer</t>
  </si>
  <si>
    <t>Adress</t>
  </si>
  <si>
    <t>CIT (TDS), New Central Revenue Building, Statue Circle</t>
  </si>
  <si>
    <t>From</t>
  </si>
  <si>
    <t>To</t>
  </si>
  <si>
    <t>City</t>
  </si>
  <si>
    <t>Jaipur</t>
  </si>
  <si>
    <t>PIN Code</t>
  </si>
  <si>
    <t>Summary of amount paid/credited and tax deducted at source thereon in respect of the employee</t>
  </si>
  <si>
    <t>Quarters</t>
  </si>
  <si>
    <t>Receipt Numbers of original quarterly statements of TDS under sub-secion (3) of section 200</t>
  </si>
  <si>
    <t>Amount paid/ credited</t>
  </si>
  <si>
    <t>Amount of tax deducted (Rs.)</t>
  </si>
  <si>
    <t>Amount of tax deposited/ remitted (Rs.)</t>
  </si>
  <si>
    <t>Ist</t>
  </si>
  <si>
    <t>IInd</t>
  </si>
  <si>
    <t>IIIrd</t>
  </si>
  <si>
    <t>IVth</t>
  </si>
  <si>
    <t>I. Details of tax deducted and deposited in the Central Government account through book adjustment</t>
  </si>
  <si>
    <t>(The Deductor to provide payment-wise details of tax deducted and deposited with respect to the deductee)</t>
  </si>
  <si>
    <t>S.N.</t>
  </si>
  <si>
    <r>
      <t xml:space="preserve">Tax Deposited in respect of the deductee </t>
    </r>
    <r>
      <rPr>
        <b/>
        <sz val="8"/>
        <color rgb="FF000000"/>
        <rFont val="Rupee Foradian"/>
      </rPr>
      <t>(Rs)</t>
    </r>
  </si>
  <si>
    <t>Book identification number (BIN)</t>
  </si>
  <si>
    <t>Receipt numbers of form No. 24G</t>
  </si>
  <si>
    <t>DDO serial number in Form No. 24G</t>
  </si>
  <si>
    <t>Date of transfer voucher (dd/mm/yyyy)</t>
  </si>
  <si>
    <t>Status of matching with Form No. 24G</t>
  </si>
  <si>
    <t xml:space="preserve">II. Details of Tax deducted and deposited in Central Government Account through Challan. </t>
  </si>
  <si>
    <t>(The deducter to provide payment-wise details of tax deducted and deposited with respect to the deductee)</t>
  </si>
  <si>
    <r>
      <t xml:space="preserve">Tax Deposited in respect on of the deductee </t>
    </r>
    <r>
      <rPr>
        <b/>
        <sz val="9"/>
        <color rgb="FF000000"/>
        <rFont val="Rupee Foradian"/>
      </rPr>
      <t>(Rs)</t>
    </r>
  </si>
  <si>
    <t>Challan identification number (CIN)</t>
  </si>
  <si>
    <t>BSR code of the Bank Branch</t>
  </si>
  <si>
    <t>Date on which tax deposited (dd/mm/yyyy)</t>
  </si>
  <si>
    <t>Challan Serial Number</t>
  </si>
  <si>
    <t>Status of matching with OLTAS</t>
  </si>
  <si>
    <t xml:space="preserve">son/daughter of </t>
  </si>
  <si>
    <t xml:space="preserve">working in the </t>
  </si>
  <si>
    <t xml:space="preserve">capacity of </t>
  </si>
  <si>
    <t xml:space="preserve">(designation) do hereby certify that a sum of </t>
  </si>
  <si>
    <t>Rs</t>
  </si>
  <si>
    <t xml:space="preserve">(in words) has been deducted </t>
  </si>
  <si>
    <t xml:space="preserve">and deposited to the credit of the Central Govt.. I further certify that the information given above is true, complete and </t>
  </si>
  <si>
    <t>correct and is based on the books of account, documents,TDS statement, TDS deposited and other available records.</t>
  </si>
  <si>
    <t>Place</t>
  </si>
  <si>
    <t>Date</t>
  </si>
  <si>
    <t>Signature of person responsible for deduction of tax</t>
  </si>
  <si>
    <t>Full name</t>
  </si>
  <si>
    <t>PART- B (Annexure)</t>
  </si>
  <si>
    <t>1. Gross salary</t>
  </si>
  <si>
    <t>(a) Salary as per provisions contained in section 17(1)</t>
  </si>
  <si>
    <t>(b) Value of perquisites u/s 17(2) (as per Form No. 12BA, wherever applicable)</t>
  </si>
  <si>
    <t>(c) Profits in lieu of salary under section 17(3) (as per Form No. 12BA, wherever applicable)</t>
  </si>
  <si>
    <t>(d) Total</t>
  </si>
  <si>
    <t>Reported total amount of salary received from other employer(s).</t>
  </si>
  <si>
    <t>2. Less: Allowance to the extent exempt u/s 10 House Rent Allowance</t>
  </si>
  <si>
    <t>Allowance</t>
  </si>
  <si>
    <t>House Rent Allow. US10 (13 A)</t>
  </si>
  <si>
    <t>3. Balance (1 - 2)</t>
  </si>
  <si>
    <t>4. Deductions:     (a) Standard deduction us 16(ia)</t>
  </si>
  <si>
    <t>Entertainment allowance 16(ii)</t>
  </si>
  <si>
    <t>Tax on employment 16(iii)</t>
  </si>
  <si>
    <t>6. Income chargeable under the head "salaries" (3-5)</t>
  </si>
  <si>
    <t xml:space="preserve">7. Add: Any other income reported by employee </t>
  </si>
  <si>
    <t>Income</t>
  </si>
  <si>
    <t>From House Property</t>
  </si>
  <si>
    <t>8. Gross total income (6+7)</t>
  </si>
  <si>
    <t>9. Deductions under Chapter VI A</t>
  </si>
  <si>
    <t>(A) Section 80C, 80CCC and 80CCD</t>
  </si>
  <si>
    <t>(a) Section 80C</t>
  </si>
  <si>
    <t>Deductible Amount</t>
  </si>
  <si>
    <t>G P F</t>
  </si>
  <si>
    <t>S I</t>
  </si>
  <si>
    <t>L I C + ULIP + PLI</t>
  </si>
  <si>
    <t>Gr. Acc. Insurance</t>
  </si>
  <si>
    <t>Home loan capital</t>
  </si>
  <si>
    <t>PPF</t>
  </si>
  <si>
    <t>Notified Bond Of NABARD</t>
  </si>
  <si>
    <t>Tuition Fee</t>
  </si>
  <si>
    <t>NSC + Interest on NSC</t>
  </si>
  <si>
    <t>Equity linked savings</t>
  </si>
  <si>
    <t>Deferred Annuity</t>
  </si>
  <si>
    <t>Sukanya Samriddhi Yojana</t>
  </si>
  <si>
    <t>(b) Section 80CCC</t>
  </si>
  <si>
    <t>(c) Section 80CCD(1)</t>
  </si>
  <si>
    <t>(B) Other Sections under Chapter VIA</t>
  </si>
  <si>
    <t>Qualifying amount</t>
  </si>
  <si>
    <t>U/S 80EEA</t>
  </si>
  <si>
    <t>U/S 80D</t>
  </si>
  <si>
    <t>U/S 80DD</t>
  </si>
  <si>
    <t>U/S 80DDB</t>
  </si>
  <si>
    <t>U/S 80E</t>
  </si>
  <si>
    <t>U/S 80G</t>
  </si>
  <si>
    <t>U/S 80GG</t>
  </si>
  <si>
    <t>U/S 80EE</t>
  </si>
  <si>
    <t>U/S 80U</t>
  </si>
  <si>
    <t>US 80CCD (1B)</t>
  </si>
  <si>
    <t xml:space="preserve">10. Aggregate of deductible amount under chapter VIA </t>
  </si>
  <si>
    <t>12. Tax on total income</t>
  </si>
  <si>
    <t>13. Health &amp; Education cess</t>
  </si>
  <si>
    <t>14. Tax payable (12+13)</t>
  </si>
  <si>
    <t>15. Relief under section 89 (Attach details)</t>
  </si>
  <si>
    <t>16. Tax payable (14-15)</t>
  </si>
  <si>
    <t xml:space="preserve">(designation) do hereby certify that the </t>
  </si>
  <si>
    <t>information given above is true, complete and correct and is based on the books of account, documents,TDS statement and other</t>
  </si>
  <si>
    <t>available records.</t>
  </si>
  <si>
    <t>Notes:-</t>
  </si>
  <si>
    <t>1. Government deductors to fill information in item 1 if tax is paid without production of an income tax challan and in item II if tax is paid accompanied by an income tax callan.</t>
  </si>
  <si>
    <t>2. The deductor shall furnish the address of the Commissioner of Income tax (TDS) having jurisdiction as regards TDS statements of the assessee.</t>
  </si>
  <si>
    <t xml:space="preserve">3. If an assessee is employed under one employer only during the year, certificate is Form No. 16 issued for the quarter ending on 31st March of the financial year shall contain the details of tax deducted and deposited for all the quarters of the financial year. </t>
  </si>
  <si>
    <t xml:space="preserve">4. If an assessee is employed under more than one employer during the year, each of the employer shall issue Part A of the certificate in Form No. 16 pertaining to the period for which such assessee was employed with each of the employers. Part B (Annexure) of the certificate in Form No. 16 may be issued by each of the employers or the last employer at the option of the assesee. </t>
  </si>
  <si>
    <t xml:space="preserve">5. In items I and II in column for tax deposited in respect of deductee. Furnish total amount of TDS and education cess. </t>
  </si>
  <si>
    <t>Any other</t>
  </si>
  <si>
    <t>DDO NAME</t>
  </si>
  <si>
    <t>DDO FATHER'S NAME</t>
  </si>
  <si>
    <t>PANNOTREQD</t>
  </si>
  <si>
    <t xml:space="preserve">NOTIFIED BOND OF NABARD  में निवेश </t>
  </si>
  <si>
    <t>NOTIFIED BOND OF NABARD</t>
  </si>
  <si>
    <t xml:space="preserve">धारा 80 C के अंतर्गत अन्य जमा राशि (TAX SAVING BANK FD,MUTUAL FUND,BOND ETC. ) </t>
  </si>
  <si>
    <t>Any other us 80C (Tax saving Fixed Deposit,Mutual Fund,Bond etc)</t>
  </si>
  <si>
    <t>Value of perquisites u/s 17(2) (as per Form No. 12BA, wherever applicable)</t>
  </si>
  <si>
    <t xml:space="preserve"> Profits in lieu of salary under section 17(3) (as per Form No. 12BA, wherever applicable)</t>
  </si>
  <si>
    <t>Value of perquisites u/s 17(2)</t>
  </si>
  <si>
    <t xml:space="preserve"> Profits in lieu of salary under section 17(3)</t>
  </si>
  <si>
    <t>;ksx</t>
  </si>
  <si>
    <t>US 80 EE (Home Loan interest for first time house buyer)</t>
  </si>
  <si>
    <t>US 80EEA (Home Loan interest for Affordable home buyer .Loan sanction from 01-04-2019)</t>
  </si>
  <si>
    <t xml:space="preserve">कुल योग 13 ( 1 से 11 तक ) </t>
  </si>
  <si>
    <t>10. US 80 EE (Home Loan interest for first time house buyer)</t>
  </si>
  <si>
    <t>11. US 80EEA (Home Loan interest for Affordable home buyer .Loan sanction from 01-04-2019)</t>
  </si>
  <si>
    <t>Notified bond of Nabard</t>
  </si>
  <si>
    <t>समूह दुर्घटना बीमा</t>
  </si>
  <si>
    <t>(C) Profits in lieu of salary under section 17(3)</t>
  </si>
  <si>
    <t>(B) Value of perquisites u/s 17(2)</t>
  </si>
  <si>
    <t xml:space="preserve">धारा 80DD -विकलांग आश्रितों के चिकित्सा उपचार </t>
  </si>
  <si>
    <t>धारा 80DDB -विशिष्ट रोगों के  उपचार हेतु</t>
  </si>
  <si>
    <t xml:space="preserve">धारा 80D -चिकित्सा बीमा प्रीमियम </t>
  </si>
  <si>
    <t xml:space="preserve">धारा 80 U -स्थायी शारीरिक विकलांगता </t>
  </si>
  <si>
    <r>
      <t xml:space="preserve">d`Ik;k </t>
    </r>
    <r>
      <rPr>
        <b/>
        <sz val="12"/>
        <color rgb="FFFF0000"/>
        <rFont val="Cambria"/>
        <family val="1"/>
      </rPr>
      <t xml:space="preserve">Traces (https://www.tdscpc.gov.in) </t>
    </r>
    <r>
      <rPr>
        <b/>
        <sz val="14"/>
        <color rgb="FFFF0000"/>
        <rFont val="DevLys 010"/>
      </rPr>
      <t xml:space="preserve">ls izkIr QkWeZ 16 dk gh mi;ksx djsaA ;g QkWeZ 16 flQZ x.kuk mn~ns'; ds fy, gSA </t>
    </r>
  </si>
  <si>
    <r>
      <rPr>
        <b/>
        <sz val="14"/>
        <color rgb="FFE36C09"/>
        <rFont val="DevLys 010"/>
      </rPr>
      <t>xzhu dyj lsYl dks vko';drk gks rks esU;wvyh HkjysaA fizaV djus ls igys fizaV fizO;w ns[kdj mlh ist dks fizaV djsa] ftldh vkidks vko';drk gSA</t>
    </r>
    <r>
      <rPr>
        <b/>
        <sz val="16"/>
        <color rgb="FFE36C09"/>
        <rFont val="DevLys 010"/>
      </rPr>
      <t xml:space="preserve">
</t>
    </r>
    <r>
      <rPr>
        <b/>
        <sz val="14"/>
        <color theme="1"/>
        <rFont val="DevLys 010"/>
      </rPr>
      <t xml:space="preserve">¼QkeZ ua- 16 </t>
    </r>
    <r>
      <rPr>
        <b/>
        <sz val="12"/>
        <color theme="1"/>
        <rFont val="Times New Roman"/>
        <family val="1"/>
      </rPr>
      <t>Download</t>
    </r>
    <r>
      <rPr>
        <b/>
        <sz val="14"/>
        <color theme="1"/>
        <rFont val="DevLys 010"/>
      </rPr>
      <t xml:space="preserve"> djus ds fy, </t>
    </r>
    <r>
      <rPr>
        <b/>
        <sz val="12"/>
        <color theme="1"/>
        <rFont val="Times New Roman"/>
        <family val="1"/>
      </rPr>
      <t>http://tdscpc.gov.in (Traces)</t>
    </r>
    <r>
      <rPr>
        <b/>
        <sz val="14"/>
        <color theme="1"/>
        <rFont val="DevLys 010"/>
      </rPr>
      <t xml:space="preserve"> osclkbV ij tk,aA</t>
    </r>
    <r>
      <rPr>
        <b/>
        <sz val="16"/>
        <color theme="1"/>
        <rFont val="DevLys 010"/>
      </rPr>
      <t xml:space="preserve">
</t>
    </r>
  </si>
  <si>
    <r>
      <t xml:space="preserve">;fn vkidk VhMh,l </t>
    </r>
    <r>
      <rPr>
        <b/>
        <sz val="10"/>
        <color theme="1"/>
        <rFont val="Tunga"/>
        <family val="2"/>
      </rPr>
      <t>BIN</t>
    </r>
    <r>
      <rPr>
        <b/>
        <sz val="10"/>
        <color theme="1"/>
        <rFont val="DevLys 010"/>
      </rPr>
      <t xml:space="preserve"> ds }kjk tek gqvk gS rks lEcfU/kr </t>
    </r>
    <r>
      <rPr>
        <b/>
        <sz val="10"/>
        <color theme="1"/>
        <rFont val="Times New Roman"/>
        <family val="1"/>
      </rPr>
      <t>Annexure</t>
    </r>
    <r>
      <rPr>
        <b/>
        <sz val="10"/>
        <color theme="1"/>
        <rFont val="DevLys 010"/>
      </rPr>
      <t xml:space="preserve"> ds fy, fuEu cVuksa dk mi;ksx dj fooj.k Hkjs</t>
    </r>
  </si>
  <si>
    <r>
      <t xml:space="preserve">;fn vkidk VhMh,l </t>
    </r>
    <r>
      <rPr>
        <b/>
        <sz val="10"/>
        <color rgb="FF000000"/>
        <rFont val="Times New Roman"/>
        <family val="1"/>
      </rPr>
      <t>Challan</t>
    </r>
    <r>
      <rPr>
        <b/>
        <sz val="10"/>
        <color rgb="FF000000"/>
        <rFont val="DevLys 010"/>
      </rPr>
      <t xml:space="preserve"> ds }kjk tek gqvk gS rks lEcfU/kr </t>
    </r>
    <r>
      <rPr>
        <b/>
        <sz val="10"/>
        <color rgb="FF000000"/>
        <rFont val="Times New Roman"/>
        <family val="1"/>
      </rPr>
      <t>Annexure</t>
    </r>
    <r>
      <rPr>
        <b/>
        <sz val="10"/>
        <color rgb="FF000000"/>
        <rFont val="DevLys 010"/>
      </rPr>
      <t xml:space="preserve"> ds fy, fuEu cVuksa dk mi;ksx fooj.k HkjssaA </t>
    </r>
  </si>
  <si>
    <t>5. Aggregate of 4(a) to (c)</t>
  </si>
  <si>
    <t>US 80TTA /80TTB</t>
  </si>
  <si>
    <t>11. Total income (8-10)   [Round up to figure 10 us288(A)]</t>
  </si>
  <si>
    <t>US 10 other allowances</t>
  </si>
  <si>
    <t>7. Form 16</t>
  </si>
  <si>
    <t>8. us 89(1) sheet</t>
  </si>
  <si>
    <t>9. Form 10E</t>
  </si>
  <si>
    <t>auto generated</t>
  </si>
  <si>
    <t>इस शीट से संबन्धित निर्देश शीट पर दिये गए है</t>
  </si>
  <si>
    <t>Disclaimer: -All care has been taken to keep the information upto date and correct and is for educational purpose only. You are encouraged to consult your Accountant or Advisor before taking any decesion based on this calculator</t>
  </si>
  <si>
    <t xml:space="preserve">क्या आप HRA छूट लेना चाहते है </t>
  </si>
  <si>
    <t>choose by dropdown</t>
  </si>
  <si>
    <t xml:space="preserve">क्या आप चिकित्सा विभाग से है </t>
  </si>
  <si>
    <t xml:space="preserve">क्या NPA देय है </t>
  </si>
  <si>
    <t>NPA</t>
  </si>
  <si>
    <t>for medical dept</t>
  </si>
  <si>
    <t xml:space="preserve">यदि आपने अन्य कोई भत्ता का भुगतान उठाया है तो Salary शीट संबन्धित माह  में लिखे </t>
  </si>
  <si>
    <t>GPF FOR PROBATIONARY</t>
  </si>
  <si>
    <t>आप प्रोबेशनरी ट्रेनी  है तो Yes" नहीं तो  "No" चुने</t>
  </si>
  <si>
    <t xml:space="preserve">क्या आपकी नियुक्ति 01-01-2004 के बाद से है </t>
  </si>
  <si>
    <t xml:space="preserve">धारा 80 CCD(1B) के अंतर्गत-NPS मे अंशदान  </t>
  </si>
  <si>
    <t>2023-24</t>
  </si>
  <si>
    <t xml:space="preserve">Enter net taxable income for 2021-22 (as per ITR/Form-16) </t>
  </si>
  <si>
    <t>Enter arrears relates to 2021-22</t>
  </si>
  <si>
    <t>2022-23</t>
  </si>
  <si>
    <t>control button 89(1)</t>
  </si>
  <si>
    <t>GPF/GPF2004</t>
  </si>
  <si>
    <t>FINANCIAL YEAR- 2022-23</t>
  </si>
  <si>
    <t>GOVT SENIOR SECONDARY SCHOOL RAJPURA PIPERAN,SRI GANGANAGAR</t>
  </si>
  <si>
    <t xml:space="preserve">अन्य टी.डी.एस.(एरियर,self assesment आदि से)
</t>
  </si>
  <si>
    <t>अन्य टी.डी.एस.(एरियर,self assesment आदि से)</t>
  </si>
  <si>
    <t>&lt;60</t>
  </si>
  <si>
    <t>60 to 80</t>
  </si>
  <si>
    <t>above 80</t>
  </si>
  <si>
    <t xml:space="preserve">0    - 3,00,000 </t>
  </si>
  <si>
    <t>12,00,001- 15,00,000</t>
  </si>
  <si>
    <r>
      <t>NwV ?kkjk 87¼A½ ¼2-50 yk[k ls 5-00 yk[k rd dh dj ;ksX; vk; ij vk;dj dh NwV vf/kdre :- 12500 rd½@</t>
    </r>
    <r>
      <rPr>
        <sz val="11"/>
        <color theme="1"/>
        <rFont val="Cambria"/>
        <family val="1"/>
      </rPr>
      <t>for New regime net income below 7lakh than rebate maximum 25000</t>
    </r>
  </si>
  <si>
    <t>IF($S$90&lt;=300000,0,IF($S$90&lt;600001,(S90-300000)*5%,IF(S90&lt;900001,(S90-600000)*10%+15000,IF(S90&lt;1200001,(S90-900000)*15%+45000,IF(S90&lt;1500001,(S90-1200000)*20%+90000,IF(S90&gt;1500000,(S90-1500000)*30%+150000))))))</t>
  </si>
  <si>
    <t>FORMULAH FOR NEW REGIME TAX 2023-24</t>
  </si>
  <si>
    <t>TAXABLE  INCOME</t>
  </si>
  <si>
    <t>TYPE</t>
  </si>
  <si>
    <t>surrender 2023-24 arrear</t>
  </si>
  <si>
    <t>FINANCIAL YEAR- 2023-24</t>
  </si>
  <si>
    <t xml:space="preserve">Enter net taxable income for 2022-23 (as per ITR/Form-16) </t>
  </si>
  <si>
    <t>Enter arrears relates to 2022-23</t>
  </si>
  <si>
    <r>
      <t xml:space="preserve">केवल गणना उदेश्य के लिए है।कृपया  Traces (https://www.tdscpc.gov.in) </t>
    </r>
    <r>
      <rPr>
        <sz val="10"/>
        <color theme="1"/>
        <rFont val="Kruti Dev 010"/>
      </rPr>
      <t>ls QkWeZ</t>
    </r>
    <r>
      <rPr>
        <sz val="10"/>
        <color theme="1"/>
        <rFont val="Arial"/>
        <family val="2"/>
      </rPr>
      <t xml:space="preserve"> 16  download कर प्रयोग मे लेवे ।</t>
    </r>
  </si>
  <si>
    <t>6. IF BASIC PAY CHANGE DURING FY 2023-24 PROVIDE OPTION FOR GENERATE SALARY SHEET (GA 55)</t>
  </si>
  <si>
    <t xml:space="preserve">(2) छूट घारा 87(।) (OLD Regime  5.00 लाख तक की कर योग्य आय पर आयकर की छूट अधिकतम रू. 12500 तक,New Regime  7.00 लाख तक की कर योग्य आय पर आयकर की छूट अधिकतम रू. 25000 तक)   </t>
  </si>
  <si>
    <t>Yearly</t>
  </si>
  <si>
    <t>20-21</t>
  </si>
  <si>
    <t>21-22</t>
  </si>
  <si>
    <t>22-23</t>
  </si>
  <si>
    <r>
      <t xml:space="preserve">/kkjk 89¼1½ ds ragr NwV ds fy, </t>
    </r>
    <r>
      <rPr>
        <sz val="11"/>
        <color theme="1"/>
        <rFont val="Calibri"/>
        <family val="2"/>
        <scheme val="minor"/>
      </rPr>
      <t>Deduction sheet</t>
    </r>
    <r>
      <rPr>
        <sz val="11"/>
        <color theme="1"/>
        <rFont val="DevLys 010"/>
      </rPr>
      <t xml:space="preserve"> ds dkWye </t>
    </r>
    <r>
      <rPr>
        <sz val="11"/>
        <color theme="1"/>
        <rFont val="Calibri"/>
        <family val="2"/>
        <scheme val="minor"/>
      </rPr>
      <t>Q20</t>
    </r>
    <r>
      <rPr>
        <sz val="11"/>
        <color theme="1"/>
        <rFont val="DevLys 010"/>
      </rPr>
      <t xml:space="preserve"> esa Hkjs A'kwU; ls de jkf'k avkus ij NwV 'kwU; gksxh</t>
    </r>
  </si>
  <si>
    <t>Relief under secion 89(1) is</t>
  </si>
  <si>
    <t>net taxable income</t>
  </si>
  <si>
    <t>normal tax</t>
  </si>
  <si>
    <t>cess</t>
  </si>
  <si>
    <t>toatal tax</t>
  </si>
  <si>
    <t>difference</t>
  </si>
  <si>
    <t>marginal relief</t>
  </si>
  <si>
    <t>net tax</t>
  </si>
  <si>
    <t>Marginal Relief</t>
  </si>
  <si>
    <t>IF($S7&lt;=250000,0,IF($S7&lt;500001,($S7-250000)*5%,IF($S7&lt;1000001,($S7-500000)*20%+12500,IF($S7&gt;1000000,($S7-1000000)*30%+112500))))</t>
  </si>
  <si>
    <t>FORMULA FOR OLD REGIME</t>
  </si>
  <si>
    <t>10. NSC INT.</t>
  </si>
  <si>
    <t xml:space="preserve">DDO के लिए 100 कार्मिकों तक की संख्या के लिए TDS कटौती हेतु monitoring के लिए काम मे ली जा सकती है । </t>
  </si>
  <si>
    <t>11  DDO TDS Monitor Sheet</t>
  </si>
  <si>
    <t>{Payable or Refundable tax Rounded off u/s 288 B}</t>
  </si>
  <si>
    <t>{Taxable income Rounded off u/s 288 A}</t>
  </si>
  <si>
    <t>3,00,001 - 7,00,000</t>
  </si>
  <si>
    <t>7,00,001 -  10,00,000</t>
  </si>
  <si>
    <t>10,00,001 - 12,00,000</t>
  </si>
  <si>
    <t>TOTAL(1/24-3/24)</t>
  </si>
  <si>
    <t>surrender  2024-25</t>
  </si>
  <si>
    <t>D.A.ARREAR with Surr.Arr 7/24 TO 10/24</t>
  </si>
  <si>
    <t xml:space="preserve"> SALARY STATEMENT FOR FINANCIAL YEAR 2024-25</t>
  </si>
  <si>
    <t>आयकर गणना  प्रपत्र वर्ष 2024-25 (कर निर्धारण वर्ष 2025-26)</t>
  </si>
  <si>
    <t xml:space="preserve">सितम्बर 2024
तक </t>
  </si>
  <si>
    <t xml:space="preserve">अक्टूबर 2024 से दिसम्बर2024
तक  </t>
  </si>
  <si>
    <t>जनवरी 2025</t>
  </si>
  <si>
    <t>फरवरी 2025</t>
  </si>
  <si>
    <t>INCOME TAX ASSESMENT FOR FINANCIAL YEAR 2024-25</t>
  </si>
  <si>
    <t>सर्वप्रथम माह मार्च 2024 का मूल वेतन F5 सेल मे लिखना है ।यदि वार्षिक वेतन वृद्धि को छोडकर acp या अन्य कारणो किसी माह मे वेतन मे बदलाव हुआ है तो सेल J2 मे माह क्रमांक और सेल M2 मे मूल वेतन लिखे।अन्य लागू भत्तो के संबन्धित सेल मे YES का चयन कर ड्रॉपडाउन या mannual डाटा भरे। यदि किसी माह में Fix वेतन मिला है तो सेल L12   में YES चयन कर  जिस माह मे FIX PAY मिला है उसके आगे YES अन्यथा NO का चयन करें।</t>
  </si>
  <si>
    <r>
      <t xml:space="preserve">        मूल  वेतन (मार्च 2024 का)  </t>
    </r>
    <r>
      <rPr>
        <b/>
        <sz val="14"/>
        <rFont val="Wingdings"/>
        <charset val="2"/>
      </rPr>
      <t>F</t>
    </r>
  </si>
  <si>
    <t>DIFF 3%</t>
  </si>
  <si>
    <t>TOTAL(7/24-10/24)</t>
  </si>
  <si>
    <t>DA3%</t>
  </si>
  <si>
    <t>(A)आय : वर्ष 2024-25 में प्राप्त कुल वेतन  [Salary as per provisions contained in section 17(1) ]</t>
  </si>
  <si>
    <t>vk; %  o"kZ&amp;2024&amp;25 esa izkIr dqy osru ¼ dj ;ksX; lqfo/kkvksa ds eqY; lfgr ½</t>
  </si>
  <si>
    <t>vk;dj x.kuk izi= o"kZ 2024&amp;2025¼dj fu/kkZj.k o"kZ 2025&amp;2026½</t>
  </si>
  <si>
    <t>2025-26</t>
  </si>
  <si>
    <t>01-4-2024</t>
  </si>
  <si>
    <t>31-03-2025</t>
  </si>
  <si>
    <t>D.A.ARREAR  1/24 to 2/24</t>
  </si>
  <si>
    <t xml:space="preserve">NO </t>
  </si>
  <si>
    <t>2024-25</t>
  </si>
  <si>
    <t>FINANCIAL YEAR- 2024-25</t>
  </si>
  <si>
    <t xml:space="preserve">Enter net taxable income for 2024-25 including entire arrears received (as per ITR/Form-16) </t>
  </si>
  <si>
    <t xml:space="preserve">Enter net taxable income for 2023-24 (as per ITR/Form-16) </t>
  </si>
  <si>
    <t>Enter arrears relates to 2023-24</t>
  </si>
  <si>
    <t>23-24</t>
  </si>
  <si>
    <t>for FY 2024-25 Regime Type will be auto select as per assesment sheet</t>
  </si>
  <si>
    <t>1. (a) Salary received in arrears or in advance during 2024-25 in accordance with the provision of sub-rule (2) of rule 21A</t>
  </si>
  <si>
    <t>Particulars of Income referred to in rule 21A of the Income tax Rules, 1962, during the previous year relevant to assessment year 2025-26</t>
  </si>
  <si>
    <t>Form for furnishing particulars of income undr scetion 192(2A) for year ending 31st March 2025 for claiming relief under section 89(1) by a Government servant or an employee in a company, co-operative society, local authority, university, institution, association or body.</t>
  </si>
  <si>
    <t>RJGA999999999999</t>
  </si>
  <si>
    <t>XXXXX1234X</t>
  </si>
  <si>
    <t xml:space="preserve">मूल वेतन में परिवर्तन (एसीपी या अन्य कारण ,INCREMENT के अलावा) का माह क्रमांक चयन करें अन्यथा खाली छोड़ें </t>
  </si>
  <si>
    <r>
      <t xml:space="preserve">HRA का भुगतान उठाया है तो "Yes " अन्यथा "No" ड्रॉपडाउन से चुने    </t>
    </r>
    <r>
      <rPr>
        <b/>
        <sz val="10"/>
        <color rgb="FFFF0000"/>
        <rFont val="Arial"/>
        <family val="2"/>
      </rPr>
      <t xml:space="preserve"> (HRA rate updated as per order dt 30-10-2024 )   </t>
    </r>
    <r>
      <rPr>
        <b/>
        <sz val="10"/>
        <color rgb="FF002060"/>
        <rFont val="Arial"/>
        <family val="2"/>
      </rPr>
      <t xml:space="preserve">                           </t>
    </r>
  </si>
  <si>
    <t>income&gt;7Lac</t>
  </si>
  <si>
    <t>tax diff</t>
  </si>
  <si>
    <t>Marginal Relief u/s 87A</t>
  </si>
  <si>
    <t>Net tax</t>
  </si>
  <si>
    <t>Disclaimer :This is learning purpose only.You are encouraged to consult your Accountant or Advisor before taking any decesion based on this calculator</t>
  </si>
  <si>
    <t>updated 30-10-2024</t>
  </si>
  <si>
    <t>HRA rate updated as per order dated 30-10-2024</t>
  </si>
  <si>
    <t>राजस्थान राज्य कर्मचारियों (विशेषतः शिक्षा विभाग के कार्मिक ) के  लिए FY 2024-25 के लिए आयकर आकलन   बाबत इस UTILITY का प्रयोग किया जा सकता है । FILE को SAVE करने के लिए अपनी सुविधा से नाम देकर SAVE AS से Excel Macro- Enable Workbook के रूप में Save करें। file को open करते समय Enable Macro करें।यह excel utility केवल मात्र राज्य कार्मिको के income tax assesment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आयकर विभाग के नियम मान्य होंगे  किसी प्रकार की तकनीकी कमी पाए जाने पर नीचे दिये गए EMAIL द्वारा अवगत कराने का श्रम करावे।(PLEASE USE LATEST VERSION OF THAT IS  OFFICE 2010 AND ABOVE FOR BEST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</si>
</sst>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 #,##0.00_-;_-* &quot;-&quot;??_-;_-@_-"/>
    <numFmt numFmtId="165" formatCode="mm\/yy"/>
    <numFmt numFmtId="166" formatCode="0_)"/>
    <numFmt numFmtId="167" formatCode="_(* #,##0_);_(* \(#,##0\);_(* &quot;-&quot;??_);_(@_)"/>
    <numFmt numFmtId="168" formatCode="_(* #,##0.00_);_(* \(#,##0.00\);_(* &quot;-&quot;??_);_(@_)"/>
    <numFmt numFmtId="169" formatCode="_ &quot;Rs.&quot;\ * #,##0_ ;_ &quot;Rs.&quot;\ * \-#,##0_ ;_ &quot;Rs.&quot;\ * &quot;-&quot;??_ ;_ @_ "/>
    <numFmt numFmtId="170" formatCode="&quot;₹&quot;\ #,##0.00"/>
    <numFmt numFmtId="171" formatCode="[$-4009]dd\ mmmm\ yyyy"/>
  </numFmts>
  <fonts count="293">
    <font>
      <sz val="11"/>
      <color theme="1"/>
      <name val="Calibri"/>
      <family val="2"/>
      <scheme val="minor"/>
    </font>
    <font>
      <sz val="11"/>
      <name val="Calibri"/>
      <family val="2"/>
    </font>
    <font>
      <sz val="11"/>
      <color theme="1"/>
      <name val="Cambria"/>
      <family val="2"/>
    </font>
    <font>
      <sz val="11"/>
      <color theme="1"/>
      <name val="Cambria"/>
      <family val="2"/>
    </font>
    <font>
      <sz val="11"/>
      <color theme="1"/>
      <name val="Cambria"/>
      <family val="2"/>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10"/>
      <name val="Arial"/>
      <family val="2"/>
    </font>
    <font>
      <b/>
      <sz val="16"/>
      <name val="DevLys 010"/>
    </font>
    <font>
      <sz val="12"/>
      <name val="DevLys 010"/>
    </font>
    <font>
      <b/>
      <i/>
      <sz val="10"/>
      <name val="Calibri"/>
      <family val="2"/>
      <scheme val="minor"/>
    </font>
    <font>
      <sz val="10"/>
      <name val="Calibri"/>
      <family val="2"/>
      <scheme val="minor"/>
    </font>
    <font>
      <b/>
      <sz val="12"/>
      <name val="Calibri"/>
      <family val="2"/>
      <scheme val="minor"/>
    </font>
    <font>
      <sz val="9"/>
      <name val="Arial"/>
      <family val="2"/>
    </font>
    <font>
      <sz val="12"/>
      <name val="Calibri"/>
      <family val="2"/>
      <scheme val="minor"/>
    </font>
    <font>
      <sz val="12"/>
      <name val="Arial"/>
      <family val="2"/>
    </font>
    <font>
      <sz val="10"/>
      <name val="Times New Roman"/>
      <family val="1"/>
    </font>
    <font>
      <sz val="10"/>
      <name val="DevLys 010"/>
    </font>
    <font>
      <b/>
      <sz val="12"/>
      <name val="DevLys 010"/>
    </font>
    <font>
      <b/>
      <sz val="12"/>
      <name val="Arial"/>
      <family val="2"/>
    </font>
    <font>
      <b/>
      <sz val="10"/>
      <name val="Arial"/>
      <family val="2"/>
    </font>
    <font>
      <sz val="12"/>
      <name val="Times New Roman"/>
      <family val="1"/>
    </font>
    <font>
      <i/>
      <sz val="11"/>
      <name val="Calibri"/>
      <family val="2"/>
      <scheme val="minor"/>
    </font>
    <font>
      <sz val="11"/>
      <name val="DevLys 010"/>
    </font>
    <font>
      <sz val="11"/>
      <name val="Arial"/>
      <family val="2"/>
    </font>
    <font>
      <b/>
      <sz val="12"/>
      <name val="Times New Roman"/>
      <family val="1"/>
    </font>
    <font>
      <b/>
      <i/>
      <sz val="11"/>
      <name val="Calibri"/>
      <family val="2"/>
      <scheme val="minor"/>
    </font>
    <font>
      <sz val="9"/>
      <name val="DevLys 010"/>
    </font>
    <font>
      <sz val="11"/>
      <name val="Times New Roman"/>
      <family val="1"/>
    </font>
    <font>
      <i/>
      <sz val="12"/>
      <name val="Calibri"/>
      <family val="2"/>
      <scheme val="minor"/>
    </font>
    <font>
      <b/>
      <sz val="11"/>
      <name val="Calibri"/>
      <family val="2"/>
      <scheme val="minor"/>
    </font>
    <font>
      <b/>
      <sz val="10"/>
      <name val="DevLys 010"/>
    </font>
    <font>
      <b/>
      <sz val="9"/>
      <name val="Arial"/>
      <family val="2"/>
    </font>
    <font>
      <b/>
      <sz val="14"/>
      <color theme="1"/>
      <name val="Times New Roman"/>
      <family val="1"/>
    </font>
    <font>
      <sz val="11"/>
      <color theme="1"/>
      <name val="Times New Roman"/>
      <family val="1"/>
    </font>
    <font>
      <b/>
      <sz val="10"/>
      <color theme="1"/>
      <name val="Times New Roman"/>
      <family val="1"/>
    </font>
    <font>
      <b/>
      <sz val="8"/>
      <color theme="1"/>
      <name val="Times New Roman"/>
      <family val="1"/>
    </font>
    <font>
      <b/>
      <sz val="12"/>
      <color theme="1"/>
      <name val="Times New Roman"/>
      <family val="1"/>
    </font>
    <font>
      <sz val="11"/>
      <color theme="1"/>
      <name val="DevLys 010"/>
    </font>
    <font>
      <b/>
      <sz val="7"/>
      <color theme="1"/>
      <name val="Times New Roman"/>
      <family val="1"/>
    </font>
    <font>
      <b/>
      <sz val="11"/>
      <color theme="1"/>
      <name val="Times New Roman"/>
      <family val="1"/>
    </font>
    <font>
      <b/>
      <sz val="9"/>
      <color theme="1"/>
      <name val="Times New Roman"/>
      <family val="1"/>
    </font>
    <font>
      <b/>
      <sz val="9"/>
      <color rgb="FF000000"/>
      <name val="Times New Roman"/>
      <family val="1"/>
    </font>
    <font>
      <sz val="8"/>
      <name val="Calibri"/>
      <family val="2"/>
      <scheme val="minor"/>
    </font>
    <font>
      <b/>
      <sz val="22"/>
      <color theme="1"/>
      <name val="Times New Roman"/>
      <family val="1"/>
    </font>
    <font>
      <b/>
      <sz val="12"/>
      <color rgb="FF000000"/>
      <name val="Times New Roman"/>
      <family val="1"/>
    </font>
    <font>
      <sz val="9"/>
      <color theme="1"/>
      <name val="Times New Roman"/>
      <family val="1"/>
    </font>
    <font>
      <sz val="10"/>
      <color rgb="FFFF0000"/>
      <name val="Times New Roman"/>
      <family val="1"/>
    </font>
    <font>
      <sz val="11"/>
      <name val="Calibri"/>
      <family val="2"/>
      <scheme val="minor"/>
    </font>
    <font>
      <sz val="8"/>
      <name val="Arial"/>
      <family val="2"/>
    </font>
    <font>
      <sz val="9"/>
      <name val="Calibri"/>
      <family val="2"/>
      <scheme val="minor"/>
    </font>
    <font>
      <sz val="8"/>
      <name val="DevLys 010"/>
    </font>
    <font>
      <b/>
      <sz val="9"/>
      <name val="DevLys 010"/>
    </font>
    <font>
      <sz val="8"/>
      <color theme="1"/>
      <name val="Calibri"/>
      <family val="2"/>
    </font>
    <font>
      <sz val="12"/>
      <color rgb="FFFF0000"/>
      <name val="Times New Roman"/>
      <family val="1"/>
    </font>
    <font>
      <b/>
      <sz val="10"/>
      <name val="Times New Roman"/>
      <family val="1"/>
    </font>
    <font>
      <b/>
      <sz val="12"/>
      <color theme="0"/>
      <name val="Times New Roman"/>
      <family val="1"/>
    </font>
    <font>
      <b/>
      <sz val="16"/>
      <color theme="0"/>
      <name val="DevLys 010"/>
    </font>
    <font>
      <sz val="11"/>
      <color rgb="FFFF0000"/>
      <name val="Calibri"/>
      <family val="2"/>
      <scheme val="minor"/>
    </font>
    <font>
      <sz val="11"/>
      <color theme="1"/>
      <name val="Cambria"/>
      <family val="1"/>
      <scheme val="major"/>
    </font>
    <font>
      <sz val="11"/>
      <color theme="0"/>
      <name val="Cambria"/>
      <family val="1"/>
      <scheme val="major"/>
    </font>
    <font>
      <b/>
      <sz val="11"/>
      <color rgb="FFFF0000"/>
      <name val="DevLys 010"/>
    </font>
    <font>
      <b/>
      <sz val="14"/>
      <name val="Cambria"/>
      <family val="1"/>
      <scheme val="major"/>
    </font>
    <font>
      <sz val="14"/>
      <name val="Arial"/>
      <family val="2"/>
    </font>
    <font>
      <sz val="11"/>
      <color theme="0"/>
      <name val="Arial"/>
      <family val="2"/>
    </font>
    <font>
      <b/>
      <sz val="12"/>
      <color rgb="FFFF0000"/>
      <name val="Times New Roman"/>
      <family val="1"/>
    </font>
    <font>
      <b/>
      <sz val="14"/>
      <color rgb="FF000000"/>
      <name val="Times New Roman"/>
      <family val="1"/>
    </font>
    <font>
      <b/>
      <sz val="16"/>
      <color rgb="FFFF0000"/>
      <name val="Times New Roman"/>
      <family val="1"/>
    </font>
    <font>
      <sz val="16"/>
      <color rgb="FF01107F"/>
      <name val="Times New Roman"/>
      <family val="1"/>
    </font>
    <font>
      <sz val="16"/>
      <color rgb="FF000080"/>
      <name val="Times New Roman"/>
      <family val="1"/>
    </font>
    <font>
      <sz val="14"/>
      <color rgb="FF800000"/>
      <name val="Times New Roman"/>
      <family val="1"/>
    </font>
    <font>
      <sz val="16"/>
      <color rgb="FF800000"/>
      <name val="Times New Roman"/>
      <family val="1"/>
    </font>
    <font>
      <sz val="11"/>
      <color rgb="FF008080"/>
      <name val="Times New Roman"/>
      <family val="1"/>
    </font>
    <font>
      <sz val="10"/>
      <color rgb="FF008080"/>
      <name val="Times New Roman"/>
      <family val="1"/>
    </font>
    <font>
      <b/>
      <sz val="11"/>
      <color rgb="FF003366"/>
      <name val="Times New Roman"/>
      <family val="1"/>
    </font>
    <font>
      <sz val="11"/>
      <color rgb="FF0000FF"/>
      <name val="Times New Roman"/>
      <family val="1"/>
    </font>
    <font>
      <sz val="11"/>
      <color rgb="FFFF0000"/>
      <name val="Times New Roman"/>
      <family val="1"/>
    </font>
    <font>
      <sz val="10"/>
      <color rgb="FF00B050"/>
      <name val="Times New Roman"/>
      <family val="1"/>
    </font>
    <font>
      <b/>
      <sz val="14"/>
      <color theme="1" tint="0.34998626667073579"/>
      <name val="Times New Roman"/>
      <family val="1"/>
    </font>
    <font>
      <b/>
      <sz val="14"/>
      <color theme="1" tint="0.34998626667073579"/>
      <name val="Cambria"/>
      <family val="1"/>
      <scheme val="major"/>
    </font>
    <font>
      <b/>
      <sz val="16"/>
      <color rgb="FF800000"/>
      <name val="Times New Roman"/>
      <family val="1"/>
    </font>
    <font>
      <b/>
      <sz val="16"/>
      <color rgb="FF7030A0"/>
      <name val="Times New Roman"/>
      <family val="1"/>
    </font>
    <font>
      <sz val="16"/>
      <color rgb="FF7030A0"/>
      <name val="Times New Roman"/>
      <family val="1"/>
    </font>
    <font>
      <b/>
      <sz val="11"/>
      <color theme="1"/>
      <name val="Cambria"/>
      <family val="1"/>
      <scheme val="major"/>
    </font>
    <font>
      <b/>
      <sz val="12"/>
      <color theme="1" tint="0.34998626667073579"/>
      <name val="Times New Roman"/>
      <family val="1"/>
    </font>
    <font>
      <sz val="9"/>
      <color theme="1" tint="0.34998626667073579"/>
      <name val="Times New Roman"/>
      <family val="1"/>
    </font>
    <font>
      <sz val="10"/>
      <color theme="0"/>
      <name val="Arial"/>
      <family val="2"/>
    </font>
    <font>
      <sz val="11"/>
      <name val="Cambria"/>
      <family val="1"/>
      <scheme val="major"/>
    </font>
    <font>
      <sz val="8"/>
      <name val="Times New Roman"/>
      <family val="1"/>
    </font>
    <font>
      <sz val="14"/>
      <color theme="1"/>
      <name val="Calibri"/>
      <family val="2"/>
      <scheme val="minor"/>
    </font>
    <font>
      <sz val="12"/>
      <color rgb="FF000000"/>
      <name val="Times New Roman"/>
      <family val="1"/>
    </font>
    <font>
      <b/>
      <sz val="11"/>
      <name val="Cambria"/>
      <family val="1"/>
      <scheme val="major"/>
    </font>
    <font>
      <sz val="11"/>
      <color rgb="FF800000"/>
      <name val="Times New Roman"/>
      <family val="1"/>
    </font>
    <font>
      <b/>
      <sz val="12"/>
      <name val="Cambria"/>
      <family val="1"/>
      <scheme val="major"/>
    </font>
    <font>
      <sz val="11"/>
      <color theme="1"/>
      <name val="Arial"/>
      <family val="2"/>
    </font>
    <font>
      <sz val="10"/>
      <color theme="1"/>
      <name val="Arial"/>
      <family val="2"/>
    </font>
    <font>
      <b/>
      <sz val="14"/>
      <name val="Times New Roman"/>
      <family val="1"/>
    </font>
    <font>
      <b/>
      <sz val="22"/>
      <name val="Times New Roman"/>
      <family val="1"/>
    </font>
    <font>
      <b/>
      <sz val="14"/>
      <color theme="0"/>
      <name val="Cambria"/>
      <family val="1"/>
      <scheme val="major"/>
    </font>
    <font>
      <sz val="12"/>
      <name val="Cambria"/>
      <family val="1"/>
      <scheme val="major"/>
    </font>
    <font>
      <sz val="10"/>
      <name val="Cambria"/>
      <family val="1"/>
      <scheme val="major"/>
    </font>
    <font>
      <sz val="9"/>
      <name val="Cambria"/>
      <family val="1"/>
      <scheme val="major"/>
    </font>
    <font>
      <b/>
      <sz val="16"/>
      <color theme="1"/>
      <name val="Cambria"/>
      <family val="1"/>
      <scheme val="major"/>
    </font>
    <font>
      <b/>
      <sz val="12"/>
      <color theme="1"/>
      <name val="Cambria"/>
      <family val="1"/>
      <scheme val="major"/>
    </font>
    <font>
      <b/>
      <i/>
      <u/>
      <sz val="14"/>
      <name val="Cambria"/>
      <family val="1"/>
      <scheme val="major"/>
    </font>
    <font>
      <sz val="14"/>
      <color indexed="10"/>
      <name val="Verdana"/>
      <family val="2"/>
    </font>
    <font>
      <sz val="14"/>
      <color indexed="12"/>
      <name val="Verdana"/>
      <family val="2"/>
    </font>
    <font>
      <sz val="14"/>
      <color indexed="21"/>
      <name val="Verdana"/>
      <family val="2"/>
    </font>
    <font>
      <b/>
      <sz val="12"/>
      <name val="Calibri"/>
      <family val="2"/>
    </font>
    <font>
      <u/>
      <sz val="10"/>
      <color theme="10"/>
      <name val="Arial"/>
      <family val="2"/>
    </font>
    <font>
      <u/>
      <sz val="11"/>
      <color rgb="FF006666"/>
      <name val="Arial"/>
      <family val="2"/>
    </font>
    <font>
      <b/>
      <u/>
      <sz val="10"/>
      <color rgb="FFFF0000"/>
      <name val="Arial"/>
      <family val="2"/>
    </font>
    <font>
      <b/>
      <sz val="14"/>
      <color indexed="10"/>
      <name val="Arial"/>
      <family val="2"/>
    </font>
    <font>
      <b/>
      <u/>
      <sz val="14"/>
      <color indexed="10"/>
      <name val="Arial"/>
      <family val="2"/>
    </font>
    <font>
      <b/>
      <u/>
      <sz val="10"/>
      <color indexed="10"/>
      <name val="Arial"/>
      <family val="2"/>
    </font>
    <font>
      <b/>
      <u/>
      <sz val="11"/>
      <color indexed="17"/>
      <name val="Arial"/>
      <family val="2"/>
    </font>
    <font>
      <b/>
      <u/>
      <sz val="11"/>
      <color indexed="10"/>
      <name val="Arial"/>
      <family val="2"/>
    </font>
    <font>
      <b/>
      <sz val="9"/>
      <color rgb="FF00CC66"/>
      <name val="Arial"/>
      <family val="2"/>
    </font>
    <font>
      <b/>
      <sz val="12"/>
      <color indexed="11"/>
      <name val="Arial"/>
      <family val="2"/>
    </font>
    <font>
      <b/>
      <sz val="12"/>
      <color indexed="10"/>
      <name val="Arial"/>
      <family val="2"/>
    </font>
    <font>
      <b/>
      <sz val="9"/>
      <color indexed="11"/>
      <name val="Arial"/>
      <family val="2"/>
    </font>
    <font>
      <b/>
      <sz val="10"/>
      <color indexed="12"/>
      <name val="Arial"/>
      <family val="2"/>
    </font>
    <font>
      <b/>
      <sz val="10"/>
      <color rgb="FFFF0000"/>
      <name val="Arial"/>
      <family val="2"/>
    </font>
    <font>
      <b/>
      <sz val="12"/>
      <color indexed="12"/>
      <name val="Arial"/>
      <family val="2"/>
    </font>
    <font>
      <b/>
      <sz val="10"/>
      <color indexed="10"/>
      <name val="Arial"/>
      <family val="2"/>
    </font>
    <font>
      <b/>
      <sz val="10"/>
      <name val="Rupee Foradian Standard"/>
      <family val="2"/>
    </font>
    <font>
      <b/>
      <sz val="9"/>
      <color rgb="FF7030A0"/>
      <name val="Arial"/>
      <family val="2"/>
    </font>
    <font>
      <b/>
      <sz val="12"/>
      <color indexed="36"/>
      <name val="Arial"/>
      <family val="2"/>
    </font>
    <font>
      <b/>
      <sz val="12"/>
      <color indexed="17"/>
      <name val="Arial"/>
      <family val="2"/>
    </font>
    <font>
      <b/>
      <sz val="9"/>
      <color indexed="17"/>
      <name val="Arial"/>
      <family val="2"/>
    </font>
    <font>
      <b/>
      <u/>
      <sz val="10"/>
      <color indexed="12"/>
      <name val="Arial"/>
      <family val="2"/>
    </font>
    <font>
      <b/>
      <sz val="10"/>
      <color indexed="9"/>
      <name val="Arial"/>
      <family val="2"/>
    </font>
    <font>
      <b/>
      <sz val="14"/>
      <color indexed="14"/>
      <name val="Arial"/>
      <family val="2"/>
    </font>
    <font>
      <b/>
      <sz val="10"/>
      <color rgb="FFFF0066"/>
      <name val="Arial"/>
      <family val="2"/>
    </font>
    <font>
      <sz val="9"/>
      <name val="Calibri"/>
      <family val="2"/>
    </font>
    <font>
      <b/>
      <sz val="11"/>
      <color rgb="FFFF0000"/>
      <name val="Arial"/>
      <family val="2"/>
    </font>
    <font>
      <b/>
      <sz val="11"/>
      <color indexed="21"/>
      <name val="Arial"/>
      <family val="2"/>
    </font>
    <font>
      <b/>
      <u/>
      <sz val="11"/>
      <color indexed="21"/>
      <name val="Arial"/>
      <family val="2"/>
    </font>
    <font>
      <b/>
      <sz val="11"/>
      <color indexed="10"/>
      <name val="Arial"/>
      <family val="2"/>
    </font>
    <font>
      <b/>
      <sz val="11"/>
      <name val="Arial"/>
      <family val="2"/>
    </font>
    <font>
      <b/>
      <sz val="10"/>
      <color indexed="48"/>
      <name val="Arial"/>
      <family val="2"/>
    </font>
    <font>
      <sz val="10"/>
      <color indexed="48"/>
      <name val="Arial"/>
      <family val="2"/>
    </font>
    <font>
      <b/>
      <u/>
      <sz val="10"/>
      <name val="Arial"/>
      <family val="2"/>
    </font>
    <font>
      <b/>
      <u/>
      <sz val="10"/>
      <color indexed="48"/>
      <name val="Arial"/>
      <family val="2"/>
    </font>
    <font>
      <u/>
      <sz val="10"/>
      <name val="Arial"/>
      <family val="2"/>
    </font>
    <font>
      <b/>
      <sz val="11"/>
      <color rgb="FF009999"/>
      <name val="Arial"/>
      <family val="2"/>
    </font>
    <font>
      <b/>
      <sz val="10"/>
      <color indexed="21"/>
      <name val="Arial"/>
      <family val="2"/>
    </font>
    <font>
      <b/>
      <u/>
      <sz val="11"/>
      <name val="Arial"/>
      <family val="2"/>
    </font>
    <font>
      <b/>
      <sz val="9"/>
      <color indexed="10"/>
      <name val="Arial"/>
      <family val="2"/>
    </font>
    <font>
      <sz val="9"/>
      <color indexed="12"/>
      <name val="Arial"/>
      <family val="2"/>
    </font>
    <font>
      <b/>
      <u/>
      <sz val="9"/>
      <color rgb="FFFF0000"/>
      <name val="Arial"/>
      <family val="2"/>
    </font>
    <font>
      <sz val="10"/>
      <color indexed="21"/>
      <name val="Arial"/>
      <family val="2"/>
    </font>
    <font>
      <sz val="10"/>
      <name val="Rupee Foradian Standard"/>
      <family val="2"/>
    </font>
    <font>
      <b/>
      <u/>
      <sz val="9"/>
      <color indexed="12"/>
      <name val="Arial"/>
      <family val="2"/>
    </font>
    <font>
      <b/>
      <sz val="11"/>
      <color indexed="12"/>
      <name val="Arial"/>
      <family val="2"/>
    </font>
    <font>
      <b/>
      <sz val="9"/>
      <color indexed="12"/>
      <name val="Arial"/>
      <family val="2"/>
    </font>
    <font>
      <sz val="11"/>
      <color indexed="21"/>
      <name val="Arial"/>
      <family val="2"/>
    </font>
    <font>
      <b/>
      <sz val="9"/>
      <color rgb="FFFF0000"/>
      <name val="Arial"/>
      <family val="2"/>
    </font>
    <font>
      <b/>
      <i/>
      <sz val="12"/>
      <color rgb="FF339933"/>
      <name val="Arial"/>
      <family val="2"/>
    </font>
    <font>
      <b/>
      <i/>
      <u/>
      <sz val="12"/>
      <color indexed="57"/>
      <name val="Arial"/>
      <family val="2"/>
    </font>
    <font>
      <b/>
      <u/>
      <sz val="12"/>
      <color indexed="10"/>
      <name val="Arial"/>
      <family val="2"/>
    </font>
    <font>
      <u/>
      <sz val="10"/>
      <color indexed="12"/>
      <name val="Arial"/>
      <family val="2"/>
    </font>
    <font>
      <b/>
      <sz val="14"/>
      <color rgb="FFFF0066"/>
      <name val="Arial"/>
      <family val="2"/>
    </font>
    <font>
      <sz val="12"/>
      <color rgb="FF475055"/>
      <name val="Arial"/>
      <family val="2"/>
    </font>
    <font>
      <sz val="11"/>
      <color rgb="FF475055"/>
      <name val="Arial"/>
      <family val="2"/>
    </font>
    <font>
      <b/>
      <sz val="12"/>
      <color rgb="FF009999"/>
      <name val="Arial"/>
      <family val="2"/>
    </font>
    <font>
      <sz val="10"/>
      <color rgb="FF000000"/>
      <name val="Symbol"/>
      <family val="1"/>
      <charset val="2"/>
    </font>
    <font>
      <sz val="7"/>
      <color indexed="8"/>
      <name val="Times New Roman"/>
      <family val="1"/>
    </font>
    <font>
      <sz val="13"/>
      <color indexed="8"/>
      <name val="Times New Roman"/>
      <family val="1"/>
    </font>
    <font>
      <b/>
      <sz val="18"/>
      <color rgb="FF0000FF"/>
      <name val="Arial"/>
      <family val="2"/>
    </font>
    <font>
      <sz val="8"/>
      <name val="Cambria"/>
      <family val="1"/>
    </font>
    <font>
      <b/>
      <sz val="8"/>
      <name val="Arial"/>
      <family val="2"/>
    </font>
    <font>
      <b/>
      <sz val="14"/>
      <color theme="1"/>
      <name val="Cambria"/>
      <family val="1"/>
      <scheme val="major"/>
    </font>
    <font>
      <b/>
      <sz val="18"/>
      <name val="Cambria"/>
      <family val="1"/>
      <scheme val="major"/>
    </font>
    <font>
      <sz val="12"/>
      <color theme="1"/>
      <name val="Calibri"/>
      <family val="2"/>
      <scheme val="minor"/>
    </font>
    <font>
      <sz val="10"/>
      <color theme="1"/>
      <name val="Cambria"/>
      <family val="1"/>
      <scheme val="major"/>
    </font>
    <font>
      <b/>
      <sz val="8"/>
      <color rgb="FFFF0000"/>
      <name val="Cambria"/>
      <family val="1"/>
      <scheme val="major"/>
    </font>
    <font>
      <b/>
      <sz val="22"/>
      <color theme="1"/>
      <name val="Cambria"/>
      <family val="1"/>
      <scheme val="major"/>
    </font>
    <font>
      <sz val="12"/>
      <color theme="1"/>
      <name val="Cambria"/>
      <family val="1"/>
      <scheme val="major"/>
    </font>
    <font>
      <sz val="14"/>
      <color theme="1"/>
      <name val="Cambria"/>
      <family val="1"/>
      <scheme val="major"/>
    </font>
    <font>
      <sz val="10"/>
      <color theme="1"/>
      <name val="Calibri"/>
      <family val="2"/>
      <scheme val="minor"/>
    </font>
    <font>
      <sz val="8"/>
      <color rgb="FF000000"/>
      <name val="Tahoma"/>
      <family val="2"/>
    </font>
    <font>
      <b/>
      <sz val="12"/>
      <color rgb="FF0000FF"/>
      <name val="Arial"/>
      <family val="2"/>
    </font>
    <font>
      <b/>
      <sz val="10"/>
      <name val="Cambria"/>
      <family val="1"/>
      <scheme val="major"/>
    </font>
    <font>
      <sz val="8"/>
      <name val="Kruti Dev 010"/>
    </font>
    <font>
      <b/>
      <sz val="11"/>
      <color theme="1"/>
      <name val="Arial"/>
      <family val="2"/>
    </font>
    <font>
      <sz val="11"/>
      <color theme="1"/>
      <name val="Wingdings"/>
      <charset val="2"/>
    </font>
    <font>
      <sz val="8"/>
      <color rgb="FF000000"/>
      <name val="Segoe UI"/>
      <family val="2"/>
    </font>
    <font>
      <sz val="11"/>
      <color theme="0"/>
      <name val="Calibri"/>
      <family val="2"/>
      <scheme val="minor"/>
    </font>
    <font>
      <b/>
      <sz val="12"/>
      <color theme="1"/>
      <name val="Calibri"/>
      <family val="2"/>
      <scheme val="minor"/>
    </font>
    <font>
      <sz val="18"/>
      <color theme="1"/>
      <name val="Cambria"/>
      <family val="1"/>
      <scheme val="major"/>
    </font>
    <font>
      <sz val="8"/>
      <color theme="1"/>
      <name val="Times New Roman"/>
      <family val="1"/>
    </font>
    <font>
      <sz val="11"/>
      <color rgb="FFFF0000"/>
      <name val="Cambria"/>
      <family val="1"/>
      <scheme val="major"/>
    </font>
    <font>
      <sz val="9"/>
      <color indexed="81"/>
      <name val="Tahoma"/>
      <family val="2"/>
    </font>
    <font>
      <b/>
      <sz val="9"/>
      <color indexed="81"/>
      <name val="Tahoma"/>
      <family val="2"/>
    </font>
    <font>
      <b/>
      <sz val="12"/>
      <color rgb="FFFF0000"/>
      <name val="Arial"/>
      <family val="2"/>
    </font>
    <font>
      <b/>
      <sz val="16"/>
      <name val="Cambria"/>
      <family val="1"/>
      <scheme val="major"/>
    </font>
    <font>
      <b/>
      <sz val="14"/>
      <name val="Arial"/>
      <family val="2"/>
    </font>
    <font>
      <b/>
      <sz val="24"/>
      <name val="Cambria"/>
      <family val="1"/>
      <scheme val="major"/>
    </font>
    <font>
      <sz val="12"/>
      <name val="Cambria"/>
      <family val="1"/>
    </font>
    <font>
      <sz val="14"/>
      <name val="Cambria"/>
      <family val="1"/>
    </font>
    <font>
      <b/>
      <sz val="16"/>
      <name val="Arial"/>
      <family val="2"/>
    </font>
    <font>
      <b/>
      <i/>
      <sz val="12"/>
      <name val="Calibri"/>
      <family val="2"/>
      <scheme val="minor"/>
    </font>
    <font>
      <sz val="16"/>
      <color rgb="FFFF0000"/>
      <name val="Calibri"/>
      <family val="2"/>
      <scheme val="minor"/>
    </font>
    <font>
      <u/>
      <sz val="16"/>
      <color rgb="FFFF0000"/>
      <name val="Calibri"/>
      <family val="2"/>
      <scheme val="minor"/>
    </font>
    <font>
      <b/>
      <sz val="9"/>
      <name val="Cambria"/>
      <family val="1"/>
      <scheme val="major"/>
    </font>
    <font>
      <b/>
      <sz val="8"/>
      <name val="Cambria"/>
      <family val="1"/>
      <scheme val="major"/>
    </font>
    <font>
      <b/>
      <sz val="8"/>
      <color rgb="FF000000"/>
      <name val="Times New Roman"/>
      <family val="1"/>
    </font>
    <font>
      <sz val="11"/>
      <color theme="1"/>
      <name val="Tahoma"/>
      <family val="2"/>
    </font>
    <font>
      <b/>
      <i/>
      <sz val="26"/>
      <name val="Cambria"/>
      <family val="1"/>
      <scheme val="major"/>
    </font>
    <font>
      <b/>
      <i/>
      <sz val="16"/>
      <color rgb="FFFF0000"/>
      <name val="Cambria"/>
      <family val="1"/>
      <scheme val="major"/>
    </font>
    <font>
      <b/>
      <i/>
      <sz val="18"/>
      <color rgb="FFFF0000"/>
      <name val="Cambria"/>
      <family val="1"/>
      <scheme val="major"/>
    </font>
    <font>
      <u val="double"/>
      <sz val="14"/>
      <color theme="0"/>
      <name val="Tahoma"/>
      <family val="2"/>
    </font>
    <font>
      <b/>
      <sz val="11"/>
      <color theme="0"/>
      <name val="Times New Roman"/>
      <family val="1"/>
    </font>
    <font>
      <i/>
      <sz val="20"/>
      <color theme="1"/>
      <name val="Cambria"/>
      <family val="1"/>
      <scheme val="major"/>
    </font>
    <font>
      <sz val="16"/>
      <name val="Cambria"/>
      <family val="1"/>
      <scheme val="major"/>
    </font>
    <font>
      <b/>
      <sz val="8"/>
      <color theme="1"/>
      <name val="Cambria"/>
      <family val="1"/>
      <scheme val="major"/>
    </font>
    <font>
      <b/>
      <sz val="16"/>
      <color theme="1"/>
      <name val="Calibri"/>
      <family val="2"/>
      <scheme val="minor"/>
    </font>
    <font>
      <sz val="8"/>
      <color rgb="FFFF0000"/>
      <name val="Cambria"/>
      <family val="1"/>
      <scheme val="major"/>
    </font>
    <font>
      <b/>
      <sz val="20"/>
      <name val="Times New Roman"/>
      <family val="1"/>
    </font>
    <font>
      <b/>
      <sz val="14"/>
      <name val="Wingdings"/>
      <charset val="2"/>
    </font>
    <font>
      <b/>
      <sz val="11"/>
      <color rgb="FF002060"/>
      <name val="Arial"/>
      <family val="2"/>
    </font>
    <font>
      <b/>
      <sz val="11"/>
      <color rgb="FFC00000"/>
      <name val="Arial"/>
      <family val="2"/>
    </font>
    <font>
      <b/>
      <sz val="10"/>
      <color rgb="FF002060"/>
      <name val="Times New Roman"/>
      <family val="1"/>
    </font>
    <font>
      <sz val="12"/>
      <color rgb="FFC00000"/>
      <name val="Times New Roman"/>
      <family val="1"/>
    </font>
    <font>
      <sz val="16"/>
      <color rgb="FFC00000"/>
      <name val="Times New Roman"/>
      <family val="1"/>
    </font>
    <font>
      <b/>
      <sz val="9"/>
      <color rgb="FF1F5709"/>
      <name val="Arial"/>
      <family val="2"/>
    </font>
    <font>
      <b/>
      <sz val="9"/>
      <color rgb="FFC00000"/>
      <name val="Arial"/>
      <family val="2"/>
    </font>
    <font>
      <sz val="8"/>
      <color theme="0"/>
      <name val="Cambria"/>
      <family val="1"/>
      <scheme val="major"/>
    </font>
    <font>
      <b/>
      <sz val="10"/>
      <color rgb="FF1F5709"/>
      <name val="Arial"/>
      <family val="2"/>
    </font>
    <font>
      <b/>
      <sz val="8"/>
      <color rgb="FF1F5709"/>
      <name val="Arial"/>
      <family val="2"/>
    </font>
    <font>
      <b/>
      <sz val="10"/>
      <color theme="1"/>
      <name val="Cambria"/>
      <family val="1"/>
      <scheme val="major"/>
    </font>
    <font>
      <b/>
      <sz val="10"/>
      <color rgb="FF002060"/>
      <name val="Arial"/>
      <family val="2"/>
    </font>
    <font>
      <b/>
      <sz val="8"/>
      <color rgb="FFC00000"/>
      <name val="Arial"/>
      <family val="2"/>
    </font>
    <font>
      <b/>
      <i/>
      <sz val="14"/>
      <color rgb="FFFF0000"/>
      <name val="Cambria"/>
      <family val="1"/>
      <scheme val="major"/>
    </font>
    <font>
      <b/>
      <sz val="10"/>
      <color rgb="FFFF0000"/>
      <name val="Cambria"/>
      <family val="1"/>
      <scheme val="major"/>
    </font>
    <font>
      <b/>
      <sz val="12"/>
      <color rgb="FF1F5709"/>
      <name val="Arial"/>
      <family val="2"/>
    </font>
    <font>
      <b/>
      <sz val="9"/>
      <color rgb="FF002060"/>
      <name val="Arial"/>
      <family val="2"/>
    </font>
    <font>
      <i/>
      <sz val="10"/>
      <color theme="1"/>
      <name val="Cambria"/>
      <family val="1"/>
      <scheme val="major"/>
    </font>
    <font>
      <i/>
      <sz val="11"/>
      <color theme="1"/>
      <name val="Calibri"/>
      <family val="2"/>
      <scheme val="minor"/>
    </font>
    <font>
      <i/>
      <sz val="12"/>
      <color theme="1"/>
      <name val="Cambria"/>
      <family val="1"/>
    </font>
    <font>
      <sz val="9"/>
      <color theme="1"/>
      <name val="Cambria"/>
      <family val="1"/>
      <scheme val="major"/>
    </font>
    <font>
      <b/>
      <sz val="11"/>
      <color rgb="FF7030A0"/>
      <name val="Times New Roman"/>
      <family val="1"/>
    </font>
    <font>
      <sz val="11"/>
      <color rgb="FF000000"/>
      <name val="Times New Roman"/>
      <family val="1"/>
    </font>
    <font>
      <sz val="9"/>
      <color rgb="FF000000"/>
      <name val="Times New Roman"/>
      <family val="1"/>
    </font>
    <font>
      <sz val="8"/>
      <color rgb="FF000000"/>
      <name val="Times New Roman"/>
      <family val="1"/>
    </font>
    <font>
      <b/>
      <sz val="14"/>
      <color rgb="FFFF0000"/>
      <name val="Times New Roman"/>
      <family val="1"/>
    </font>
    <font>
      <sz val="10"/>
      <color rgb="FF000000"/>
      <name val="Times New Roman"/>
      <family val="1"/>
    </font>
    <font>
      <b/>
      <sz val="11"/>
      <color rgb="FF000000"/>
      <name val="Times New Roman"/>
      <family val="1"/>
    </font>
    <font>
      <sz val="11"/>
      <color theme="1"/>
      <name val="Calibri"/>
      <family val="2"/>
    </font>
    <font>
      <sz val="10"/>
      <color rgb="FF800000"/>
      <name val="Times New Roman"/>
      <family val="1"/>
    </font>
    <font>
      <sz val="11"/>
      <color rgb="FFCCECFF"/>
      <name val="Times New Roman"/>
      <family val="1"/>
    </font>
    <font>
      <sz val="11"/>
      <color rgb="FF002060"/>
      <name val="Arial"/>
      <family val="2"/>
    </font>
    <font>
      <sz val="11"/>
      <color rgb="FF7030A0"/>
      <name val="Calibri"/>
      <family val="2"/>
      <scheme val="minor"/>
    </font>
    <font>
      <b/>
      <sz val="14"/>
      <color theme="1"/>
      <name val="Arial"/>
      <family val="2"/>
    </font>
    <font>
      <b/>
      <sz val="10"/>
      <color rgb="FF002060"/>
      <name val="Rupee Foradian"/>
    </font>
    <font>
      <b/>
      <sz val="11"/>
      <color rgb="FF002060"/>
      <name val="Times New Roman"/>
      <family val="1"/>
    </font>
    <font>
      <b/>
      <sz val="16"/>
      <color theme="1"/>
      <name val="Times New Roman"/>
      <family val="1"/>
    </font>
    <font>
      <b/>
      <sz val="12"/>
      <color theme="1"/>
      <name val="DevLys 010"/>
    </font>
    <font>
      <sz val="8"/>
      <color rgb="FFFF0000"/>
      <name val="Times New Roman"/>
      <family val="1"/>
    </font>
    <font>
      <b/>
      <sz val="10"/>
      <color rgb="FF000000"/>
      <name val="Times New Roman"/>
      <family val="1"/>
    </font>
    <font>
      <b/>
      <sz val="8"/>
      <color rgb="FF000000"/>
      <name val="Rupee Foradian"/>
    </font>
    <font>
      <b/>
      <sz val="7"/>
      <color rgb="FF000000"/>
      <name val="Times New Roman"/>
      <family val="1"/>
    </font>
    <font>
      <b/>
      <sz val="9"/>
      <color rgb="FF000000"/>
      <name val="Rupee Foradian"/>
    </font>
    <font>
      <sz val="9"/>
      <color rgb="FF000000"/>
      <name val="Rupee foradian"/>
    </font>
    <font>
      <sz val="7"/>
      <color rgb="FF000000"/>
      <name val="Times New Roman"/>
      <family val="1"/>
    </font>
    <font>
      <sz val="8"/>
      <color theme="1"/>
      <name val="Cambria"/>
      <family val="1"/>
      <scheme val="major"/>
    </font>
    <font>
      <b/>
      <sz val="8"/>
      <color rgb="FFFF0000"/>
      <name val="Arial"/>
      <family val="2"/>
    </font>
    <font>
      <b/>
      <sz val="10"/>
      <name val="Calibri"/>
      <family val="2"/>
      <scheme val="minor"/>
    </font>
    <font>
      <b/>
      <sz val="14"/>
      <color rgb="FFFF0000"/>
      <name val="DevLys 010"/>
    </font>
    <font>
      <sz val="11"/>
      <color theme="9" tint="0.79998168889431442"/>
      <name val="Cambria"/>
      <family val="1"/>
      <scheme val="major"/>
    </font>
    <font>
      <sz val="10"/>
      <color theme="4" tint="0.79998168889431442"/>
      <name val="Cambria"/>
      <family val="1"/>
      <scheme val="major"/>
    </font>
    <font>
      <sz val="11"/>
      <color theme="4" tint="0.79998168889431442"/>
      <name val="Cambria"/>
      <family val="1"/>
      <scheme val="major"/>
    </font>
    <font>
      <b/>
      <sz val="12"/>
      <color rgb="FFFF0000"/>
      <name val="Cambria"/>
      <family val="1"/>
    </font>
    <font>
      <b/>
      <sz val="16"/>
      <color rgb="FFE36C09"/>
      <name val="DevLys 010"/>
    </font>
    <font>
      <b/>
      <sz val="14"/>
      <color rgb="FFE36C09"/>
      <name val="DevLys 010"/>
    </font>
    <font>
      <b/>
      <sz val="14"/>
      <color theme="1"/>
      <name val="DevLys 010"/>
    </font>
    <font>
      <b/>
      <sz val="16"/>
      <color theme="1"/>
      <name val="DevLys 010"/>
    </font>
    <font>
      <b/>
      <sz val="10"/>
      <color theme="1"/>
      <name val="DevLys 010"/>
    </font>
    <font>
      <b/>
      <sz val="10"/>
      <color theme="1"/>
      <name val="Tunga"/>
      <family val="2"/>
    </font>
    <font>
      <b/>
      <sz val="10"/>
      <color rgb="FF000000"/>
      <name val="DevLys 010"/>
    </font>
    <font>
      <b/>
      <sz val="11"/>
      <color rgb="FFFF0000"/>
      <name val="Cambria"/>
      <family val="1"/>
      <scheme val="major"/>
    </font>
    <font>
      <sz val="12"/>
      <color rgb="FFFF0000"/>
      <name val="Cambria"/>
      <family val="1"/>
      <scheme val="major"/>
    </font>
    <font>
      <b/>
      <sz val="18"/>
      <name val="Arial"/>
      <family val="2"/>
    </font>
    <font>
      <b/>
      <i/>
      <sz val="20"/>
      <color theme="0"/>
      <name val="Cambria"/>
      <family val="1"/>
      <scheme val="major"/>
    </font>
    <font>
      <b/>
      <i/>
      <sz val="18"/>
      <color theme="0"/>
      <name val="Cambria"/>
      <family val="1"/>
      <scheme val="major"/>
    </font>
    <font>
      <sz val="11"/>
      <color theme="1"/>
      <name val="Cambria"/>
      <family val="1"/>
    </font>
    <font>
      <sz val="10"/>
      <color theme="1"/>
      <name val="Kruti Dev 010"/>
    </font>
    <font>
      <u/>
      <sz val="11"/>
      <color theme="10"/>
      <name val="Calibri"/>
      <family val="2"/>
    </font>
    <font>
      <sz val="11"/>
      <color rgb="FF000000"/>
      <name val="Calibri"/>
      <family val="2"/>
    </font>
    <font>
      <b/>
      <sz val="11"/>
      <color rgb="FFFF0000"/>
      <name val="Calibri"/>
      <family val="2"/>
      <scheme val="minor"/>
    </font>
  </fonts>
  <fills count="1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D6E3BC"/>
        <bgColor rgb="FFD6E3BC"/>
      </patternFill>
    </fill>
    <fill>
      <patternFill patternType="solid">
        <fgColor rgb="FFFFFF99"/>
        <bgColor rgb="FFFFFF99"/>
      </patternFill>
    </fill>
    <fill>
      <patternFill patternType="solid">
        <fgColor rgb="FFF2DDDC"/>
        <bgColor rgb="FFF2DDDC"/>
      </patternFill>
    </fill>
    <fill>
      <patternFill patternType="solid">
        <fgColor rgb="FF92D050"/>
        <bgColor indexed="64"/>
      </patternFill>
    </fill>
    <fill>
      <patternFill patternType="solid">
        <fgColor rgb="FFFF0000"/>
        <bgColor indexed="64"/>
      </patternFill>
    </fill>
    <fill>
      <patternFill patternType="solid">
        <fgColor rgb="FFE5B8B7"/>
        <bgColor rgb="FFE5B8B7"/>
      </patternFill>
    </fill>
    <fill>
      <patternFill patternType="solid">
        <fgColor rgb="FFFFCCFF"/>
        <bgColor rgb="FFFFCCFF"/>
      </patternFill>
    </fill>
    <fill>
      <patternFill patternType="solid">
        <fgColor rgb="FF8DB3E2"/>
        <bgColor rgb="FF8DB3E2"/>
      </patternFill>
    </fill>
    <fill>
      <patternFill patternType="solid">
        <fgColor rgb="FFCCFFCC"/>
        <bgColor rgb="FFCCFFCC"/>
      </patternFill>
    </fill>
    <fill>
      <patternFill patternType="solid">
        <fgColor rgb="FFFFFF00"/>
        <bgColor indexed="64"/>
      </patternFill>
    </fill>
    <fill>
      <patternFill patternType="solid">
        <fgColor rgb="FFFFC000"/>
        <bgColor indexed="64"/>
      </patternFill>
    </fill>
    <fill>
      <patternFill patternType="solid">
        <fgColor rgb="FFFFFF00"/>
        <bgColor rgb="FFE5B8B7"/>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rgb="FFE5B8B7"/>
      </patternFill>
    </fill>
    <fill>
      <patternFill patternType="solid">
        <fgColor theme="0" tint="-0.14999847407452621"/>
        <bgColor rgb="FFCCC0D9"/>
      </patternFill>
    </fill>
    <fill>
      <patternFill patternType="solid">
        <fgColor theme="0" tint="-0.14999847407452621"/>
        <bgColor rgb="FFFBD4B4"/>
      </patternFill>
    </fill>
    <fill>
      <patternFill patternType="solid">
        <fgColor theme="0" tint="-0.14999847407452621"/>
        <bgColor rgb="FF99CCFF"/>
      </patternFill>
    </fill>
    <fill>
      <patternFill patternType="solid">
        <fgColor theme="0" tint="-0.14999847407452621"/>
        <bgColor rgb="FFD6E3BC"/>
      </patternFill>
    </fill>
    <fill>
      <patternFill patternType="solid">
        <fgColor theme="0" tint="-0.14999847407452621"/>
        <bgColor rgb="FFFFCCFF"/>
      </patternFill>
    </fill>
    <fill>
      <patternFill patternType="solid">
        <fgColor theme="0" tint="-0.14999847407452621"/>
        <bgColor rgb="FF99FFCC"/>
      </patternFill>
    </fill>
    <fill>
      <patternFill patternType="solid">
        <fgColor theme="0" tint="-0.14999847407452621"/>
        <bgColor rgb="FFF2DDDC"/>
      </patternFill>
    </fill>
    <fill>
      <patternFill patternType="solid">
        <fgColor theme="9" tint="0.39997558519241921"/>
        <bgColor indexed="64"/>
      </patternFill>
    </fill>
    <fill>
      <patternFill patternType="solid">
        <fgColor rgb="FFCCFFFF"/>
        <bgColor rgb="FFCCFFFF"/>
      </patternFill>
    </fill>
    <fill>
      <patternFill patternType="solid">
        <fgColor rgb="FF99FFCC"/>
        <bgColor indexed="64"/>
      </patternFill>
    </fill>
    <fill>
      <patternFill patternType="solid">
        <fgColor theme="3" tint="0.59999389629810485"/>
        <bgColor indexed="64"/>
      </patternFill>
    </fill>
    <fill>
      <patternFill patternType="solid">
        <fgColor theme="0"/>
        <bgColor rgb="FFFFCC99"/>
      </patternFill>
    </fill>
    <fill>
      <patternFill patternType="solid">
        <fgColor rgb="FFFFFF99"/>
        <bgColor indexed="64"/>
      </patternFill>
    </fill>
    <fill>
      <patternFill patternType="solid">
        <fgColor rgb="FFFFFFCC"/>
        <bgColor indexed="64"/>
      </patternFill>
    </fill>
    <fill>
      <patternFill patternType="solid">
        <fgColor rgb="FFFFFFCC"/>
        <bgColor rgb="FFDDD9C3"/>
      </patternFill>
    </fill>
    <fill>
      <patternFill patternType="solid">
        <fgColor rgb="FFFFCCCC"/>
        <bgColor indexed="64"/>
      </patternFill>
    </fill>
    <fill>
      <patternFill patternType="solid">
        <fgColor theme="0"/>
        <bgColor rgb="FFDDD9C3"/>
      </patternFill>
    </fill>
    <fill>
      <patternFill patternType="solid">
        <fgColor theme="0"/>
        <bgColor rgb="FFFFFF99"/>
      </patternFill>
    </fill>
    <fill>
      <patternFill patternType="solid">
        <fgColor rgb="FF00FF99"/>
        <bgColor indexed="64"/>
      </patternFill>
    </fill>
    <fill>
      <patternFill patternType="solid">
        <fgColor theme="9" tint="0.59999389629810485"/>
        <bgColor indexed="41"/>
      </patternFill>
    </fill>
    <fill>
      <patternFill patternType="solid">
        <fgColor rgb="FFFFFFCC"/>
        <bgColor indexed="34"/>
      </patternFill>
    </fill>
    <fill>
      <patternFill patternType="solid">
        <fgColor theme="6" tint="0.59999389629810485"/>
        <bgColor indexed="27"/>
      </patternFill>
    </fill>
    <fill>
      <patternFill patternType="solid">
        <fgColor theme="9" tint="0.39997558519241921"/>
        <bgColor indexed="27"/>
      </patternFill>
    </fill>
    <fill>
      <patternFill patternType="solid">
        <fgColor theme="0" tint="-4.9989318521683403E-2"/>
        <bgColor indexed="41"/>
      </patternFill>
    </fill>
    <fill>
      <patternFill patternType="solid">
        <fgColor theme="0"/>
        <bgColor indexed="41"/>
      </patternFill>
    </fill>
    <fill>
      <patternFill patternType="solid">
        <fgColor rgb="FFFFFFCC"/>
        <bgColor indexed="41"/>
      </patternFill>
    </fill>
    <fill>
      <patternFill patternType="solid">
        <fgColor indexed="9"/>
        <bgColor indexed="26"/>
      </patternFill>
    </fill>
    <fill>
      <patternFill patternType="solid">
        <fgColor indexed="65"/>
        <bgColor indexed="64"/>
      </patternFill>
    </fill>
    <fill>
      <patternFill patternType="solid">
        <fgColor indexed="27"/>
        <bgColor indexed="41"/>
      </patternFill>
    </fill>
    <fill>
      <patternFill patternType="solid">
        <fgColor rgb="FFFFFFCC"/>
        <bgColor rgb="FF000000"/>
      </patternFill>
    </fill>
    <fill>
      <patternFill patternType="solid">
        <fgColor rgb="FFFFFFFF"/>
        <bgColor rgb="FF000000"/>
      </patternFill>
    </fill>
    <fill>
      <patternFill patternType="solid">
        <fgColor rgb="FFDDEBF7"/>
        <bgColor rgb="FF000000"/>
      </patternFill>
    </fill>
    <fill>
      <patternFill patternType="solid">
        <fgColor theme="8" tint="0.59999389629810485"/>
        <bgColor indexed="64"/>
      </patternFill>
    </fill>
    <fill>
      <patternFill patternType="solid">
        <fgColor rgb="FF92D050"/>
        <bgColor rgb="FF000000"/>
      </patternFill>
    </fill>
    <fill>
      <patternFill patternType="solid">
        <fgColor rgb="FF00FF99"/>
        <bgColor rgb="FFD6E3BC"/>
      </patternFill>
    </fill>
    <fill>
      <patternFill patternType="solid">
        <fgColor rgb="FF00FF99"/>
        <bgColor rgb="FFDDD9C3"/>
      </patternFill>
    </fill>
    <fill>
      <patternFill patternType="solid">
        <fgColor rgb="FF00FF99"/>
        <bgColor rgb="FFFBD4B4"/>
      </patternFill>
    </fill>
    <fill>
      <patternFill patternType="solid">
        <fgColor theme="9" tint="0.59999389629810485"/>
        <bgColor rgb="FFFBD4B4"/>
      </patternFill>
    </fill>
    <fill>
      <patternFill patternType="solid">
        <fgColor theme="5" tint="0.59999389629810485"/>
        <bgColor indexed="64"/>
      </patternFill>
    </fill>
    <fill>
      <patternFill patternType="solid">
        <fgColor theme="9" tint="0.79998168889431442"/>
        <bgColor rgb="FF000000"/>
      </patternFill>
    </fill>
    <fill>
      <patternFill patternType="solid">
        <fgColor theme="0"/>
        <bgColor rgb="FF000000"/>
      </patternFill>
    </fill>
    <fill>
      <patternFill patternType="solid">
        <fgColor rgb="FFFFFF00"/>
        <bgColor rgb="FFCCFFFF"/>
      </patternFill>
    </fill>
    <fill>
      <patternFill patternType="solid">
        <fgColor rgb="FFFFCCFF"/>
        <bgColor indexed="64"/>
      </patternFill>
    </fill>
    <fill>
      <patternFill patternType="solid">
        <fgColor rgb="FFD1F034"/>
        <bgColor indexed="64"/>
      </patternFill>
    </fill>
    <fill>
      <gradientFill degree="90">
        <stop position="0">
          <color rgb="FFD1F034"/>
        </stop>
        <stop position="1">
          <color theme="4"/>
        </stop>
      </gradientFill>
    </fill>
    <fill>
      <gradientFill type="path" left="0.5" right="0.5" top="0.5" bottom="0.5">
        <stop position="0">
          <color theme="0"/>
        </stop>
        <stop position="1">
          <color rgb="FFFF0000"/>
        </stop>
      </gradientFill>
    </fill>
    <fill>
      <gradientFill type="path">
        <stop position="0">
          <color theme="0"/>
        </stop>
        <stop position="1">
          <color rgb="FFFF0000"/>
        </stop>
      </gradientFill>
    </fill>
    <fill>
      <gradientFill type="path" left="0.5" right="0.5" top="0.5" bottom="0.5">
        <stop position="0">
          <color theme="0"/>
        </stop>
        <stop position="1">
          <color rgb="FF92D050"/>
        </stop>
      </gradientFill>
    </fill>
    <fill>
      <gradientFill type="path" left="0.5" right="0.5" top="0.5" bottom="0.5">
        <stop position="0">
          <color theme="0"/>
        </stop>
        <stop position="1">
          <color rgb="FF00FF99"/>
        </stop>
      </gradientFill>
    </fill>
    <fill>
      <patternFill patternType="solid">
        <fgColor theme="9"/>
        <bgColor indexed="64"/>
      </patternFill>
    </fill>
    <fill>
      <gradientFill type="path" left="0.5" right="0.5" top="0.5" bottom="0.5">
        <stop position="0">
          <color theme="0"/>
        </stop>
        <stop position="1">
          <color rgb="FFD1F034"/>
        </stop>
      </gradientFill>
    </fill>
    <fill>
      <gradientFill type="path" left="0.5" right="0.5" top="0.5" bottom="0.5">
        <stop position="0">
          <color theme="0"/>
        </stop>
        <stop position="1">
          <color rgb="FFFFFF00"/>
        </stop>
      </gradientFill>
    </fill>
    <fill>
      <patternFill patternType="solid">
        <fgColor rgb="FFFFFFFF"/>
        <bgColor indexed="64"/>
      </patternFill>
    </fill>
    <fill>
      <gradientFill type="path" left="0.5" right="0.5" top="0.5" bottom="0.5">
        <stop position="0">
          <color theme="0"/>
        </stop>
        <stop position="1">
          <color rgb="FFFF99FF"/>
        </stop>
      </gradientFill>
    </fill>
    <fill>
      <gradientFill type="path" left="0.5" right="0.5" top="0.5" bottom="0.5">
        <stop position="0">
          <color theme="0"/>
        </stop>
        <stop position="1">
          <color rgb="FF99FFCC"/>
        </stop>
      </gradientFill>
    </fill>
    <fill>
      <gradientFill type="path">
        <stop position="0">
          <color theme="0"/>
        </stop>
        <stop position="1">
          <color rgb="FF99FFCC"/>
        </stop>
      </gradientFill>
    </fill>
    <fill>
      <patternFill patternType="solid">
        <fgColor theme="6" tint="0.59999389629810485"/>
        <bgColor rgb="FFE5B8B7"/>
      </patternFill>
    </fill>
    <fill>
      <patternFill patternType="solid">
        <fgColor theme="6" tint="0.59999389629810485"/>
        <bgColor rgb="FFF2DDDC"/>
      </patternFill>
    </fill>
    <fill>
      <patternFill patternType="solid">
        <fgColor theme="6" tint="0.59999389629810485"/>
        <bgColor indexed="64"/>
      </patternFill>
    </fill>
    <fill>
      <patternFill patternType="solid">
        <fgColor theme="6" tint="0.59999389629810485"/>
        <bgColor rgb="FF8DB3E2"/>
      </patternFill>
    </fill>
    <fill>
      <patternFill patternType="solid">
        <fgColor theme="9" tint="0.59999389629810485"/>
        <bgColor rgb="FFE5B8B7"/>
      </patternFill>
    </fill>
    <fill>
      <patternFill patternType="solid">
        <fgColor theme="9" tint="0.59999389629810485"/>
        <bgColor rgb="FFF2DDDC"/>
      </patternFill>
    </fill>
    <fill>
      <patternFill patternType="solid">
        <fgColor theme="9" tint="0.59999389629810485"/>
        <bgColor rgb="FF8DB3E2"/>
      </patternFill>
    </fill>
    <fill>
      <gradientFill type="path" left="0.5" right="0.5" top="0.5" bottom="0.5">
        <stop position="0">
          <color theme="0"/>
        </stop>
        <stop position="1">
          <color rgb="FFFFCCFF"/>
        </stop>
      </gradientFill>
    </fill>
    <fill>
      <patternFill patternType="solid">
        <fgColor theme="0"/>
        <bgColor auto="1"/>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00000"/>
        <bgColor indexed="64"/>
      </patternFill>
    </fill>
    <fill>
      <gradientFill degree="90">
        <stop position="0">
          <color theme="0"/>
        </stop>
        <stop position="1">
          <color rgb="FFFF0000"/>
        </stop>
      </gradientFill>
    </fill>
    <fill>
      <patternFill patternType="solid">
        <fgColor rgb="FFFFCC99"/>
        <bgColor rgb="FFFFCC99"/>
      </patternFill>
    </fill>
    <fill>
      <patternFill patternType="solid">
        <fgColor rgb="FFCCECFF"/>
        <bgColor indexed="64"/>
      </patternFill>
    </fill>
    <fill>
      <patternFill patternType="solid">
        <fgColor rgb="FFCCECFF"/>
        <bgColor rgb="FF92D050"/>
      </patternFill>
    </fill>
    <fill>
      <patternFill patternType="solid">
        <fgColor theme="0" tint="-4.9989318521683403E-2"/>
        <bgColor rgb="FFCCFFCC"/>
      </patternFill>
    </fill>
    <fill>
      <patternFill patternType="solid">
        <fgColor rgb="FFFFFF00"/>
        <bgColor rgb="FFCCFFCC"/>
      </patternFill>
    </fill>
    <fill>
      <patternFill patternType="solid">
        <fgColor rgb="FFFFC000"/>
        <bgColor rgb="FFFFCCFF"/>
      </patternFill>
    </fill>
    <fill>
      <gradientFill degree="90">
        <stop position="0">
          <color theme="0"/>
        </stop>
        <stop position="1">
          <color rgb="FF66FF99"/>
        </stop>
      </gradientFill>
    </fill>
    <fill>
      <patternFill patternType="solid">
        <fgColor theme="0"/>
        <bgColor rgb="FFCCFFFF"/>
      </patternFill>
    </fill>
    <fill>
      <patternFill patternType="solid">
        <fgColor theme="9" tint="0.79998168889431442"/>
        <bgColor rgb="FFFFCC99"/>
      </patternFill>
    </fill>
    <fill>
      <patternFill patternType="solid">
        <fgColor theme="9" tint="0.79998168889431442"/>
        <bgColor rgb="FFCCFFCC"/>
      </patternFill>
    </fill>
    <fill>
      <patternFill patternType="solid">
        <fgColor theme="0"/>
        <bgColor rgb="FFCCFFCC"/>
      </patternFill>
    </fill>
    <fill>
      <patternFill patternType="solid">
        <fgColor rgb="FF00FF99"/>
        <bgColor rgb="FFFFCC99"/>
      </patternFill>
    </fill>
    <fill>
      <patternFill patternType="solid">
        <fgColor rgb="FF00FF99"/>
        <bgColor rgb="FFCCFFCC"/>
      </patternFill>
    </fill>
    <fill>
      <patternFill patternType="solid">
        <fgColor rgb="FF002060"/>
        <bgColor indexed="64"/>
      </patternFill>
    </fill>
    <fill>
      <patternFill patternType="solid">
        <fgColor theme="5" tint="0.39997558519241921"/>
        <bgColor indexed="64"/>
      </patternFill>
    </fill>
    <fill>
      <patternFill patternType="solid">
        <fgColor theme="5" tint="0.39997558519241921"/>
        <bgColor rgb="FFE5B8B7"/>
      </patternFill>
    </fill>
    <fill>
      <patternFill patternType="solid">
        <fgColor rgb="FFFFFF00"/>
        <bgColor auto="1"/>
      </patternFill>
    </fill>
    <fill>
      <gradientFill type="path" left="0.5" right="0.5" top="0.5" bottom="0.5">
        <stop position="0">
          <color theme="0"/>
        </stop>
        <stop position="1">
          <color rgb="FFFFC000"/>
        </stop>
      </gradientFill>
    </fill>
  </fills>
  <borders count="305">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rgb="FFE36C09"/>
      </left>
      <right/>
      <top style="double">
        <color rgb="FFE36C09"/>
      </top>
      <bottom/>
      <diagonal/>
    </border>
    <border>
      <left/>
      <right/>
      <top style="double">
        <color rgb="FFE36C09"/>
      </top>
      <bottom/>
      <diagonal/>
    </border>
    <border>
      <left/>
      <right style="thin">
        <color rgb="FF000000"/>
      </right>
      <top style="thin">
        <color rgb="FF000000"/>
      </top>
      <bottom style="thin">
        <color rgb="FF000000"/>
      </bottom>
      <diagonal/>
    </border>
    <border>
      <left/>
      <right/>
      <top style="thin">
        <color rgb="FF7030A0"/>
      </top>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rgb="FFFF0000"/>
      </bottom>
      <diagonal/>
    </border>
    <border>
      <left/>
      <right/>
      <top style="medium">
        <color rgb="FFFF0000"/>
      </top>
      <bottom/>
      <diagonal/>
    </border>
    <border>
      <left/>
      <right/>
      <top/>
      <bottom style="medium">
        <color rgb="FFFF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double">
        <color rgb="FF00B050"/>
      </left>
      <right/>
      <top style="double">
        <color rgb="FF00B050"/>
      </top>
      <bottom style="double">
        <color rgb="FF00B050"/>
      </bottom>
      <diagonal/>
    </border>
    <border>
      <left/>
      <right/>
      <top style="double">
        <color rgb="FF00B050"/>
      </top>
      <bottom style="double">
        <color rgb="FF00B050"/>
      </bottom>
      <diagonal/>
    </border>
    <border>
      <left/>
      <right style="double">
        <color rgb="FF00B050"/>
      </right>
      <top style="double">
        <color rgb="FF00B050"/>
      </top>
      <bottom style="double">
        <color rgb="FF00B050"/>
      </bottom>
      <diagonal/>
    </border>
    <border>
      <left/>
      <right style="double">
        <color rgb="FF00B050"/>
      </right>
      <top style="double">
        <color rgb="FF00B050"/>
      </top>
      <bottom style="medium">
        <color indexed="64"/>
      </bottom>
      <diagonal/>
    </border>
    <border>
      <left style="thin">
        <color rgb="FF000000"/>
      </left>
      <right style="double">
        <color rgb="FF00B050"/>
      </right>
      <top/>
      <bottom/>
      <diagonal/>
    </border>
    <border>
      <left style="thin">
        <color indexed="64"/>
      </left>
      <right style="double">
        <color rgb="FF00B050"/>
      </right>
      <top style="thin">
        <color indexed="64"/>
      </top>
      <bottom style="thin">
        <color indexed="64"/>
      </bottom>
      <diagonal/>
    </border>
    <border>
      <left style="double">
        <color rgb="FF00B050"/>
      </left>
      <right style="thin">
        <color indexed="64"/>
      </right>
      <top style="thin">
        <color indexed="64"/>
      </top>
      <bottom style="thin">
        <color indexed="64"/>
      </bottom>
      <diagonal/>
    </border>
    <border>
      <left style="double">
        <color rgb="FF00B050"/>
      </left>
      <right/>
      <top style="medium">
        <color indexed="64"/>
      </top>
      <bottom style="double">
        <color rgb="FF00B050"/>
      </bottom>
      <diagonal/>
    </border>
    <border>
      <left/>
      <right/>
      <top style="medium">
        <color indexed="64"/>
      </top>
      <bottom style="double">
        <color rgb="FF00B050"/>
      </bottom>
      <diagonal/>
    </border>
    <border>
      <left/>
      <right style="medium">
        <color indexed="64"/>
      </right>
      <top style="medium">
        <color indexed="64"/>
      </top>
      <bottom style="double">
        <color rgb="FF00B050"/>
      </bottom>
      <diagonal/>
    </border>
    <border>
      <left style="medium">
        <color indexed="64"/>
      </left>
      <right style="thin">
        <color rgb="FF000000"/>
      </right>
      <top style="medium">
        <color indexed="64"/>
      </top>
      <bottom style="double">
        <color rgb="FF00B050"/>
      </bottom>
      <diagonal/>
    </border>
    <border>
      <left style="double">
        <color rgb="FF00B050"/>
      </left>
      <right style="thin">
        <color indexed="64"/>
      </right>
      <top style="double">
        <color rgb="FF00B050"/>
      </top>
      <bottom style="double">
        <color rgb="FF00B050"/>
      </bottom>
      <diagonal/>
    </border>
    <border>
      <left style="thin">
        <color indexed="64"/>
      </left>
      <right style="thin">
        <color indexed="64"/>
      </right>
      <top style="double">
        <color rgb="FF00B050"/>
      </top>
      <bottom style="double">
        <color rgb="FF00B050"/>
      </bottom>
      <diagonal/>
    </border>
    <border>
      <left style="medium">
        <color rgb="FF00B050"/>
      </left>
      <right style="medium">
        <color rgb="FF00B050"/>
      </right>
      <top style="medium">
        <color rgb="FF00B050"/>
      </top>
      <bottom style="medium">
        <color rgb="FF00B050"/>
      </bottom>
      <diagonal/>
    </border>
    <border>
      <left style="double">
        <color rgb="FF00B050"/>
      </left>
      <right/>
      <top style="double">
        <color rgb="FF00B050"/>
      </top>
      <bottom style="thin">
        <color indexed="64"/>
      </bottom>
      <diagonal/>
    </border>
    <border>
      <left/>
      <right/>
      <top style="double">
        <color rgb="FF00B05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indexed="8"/>
      </top>
      <bottom/>
      <diagonal/>
    </border>
    <border>
      <left/>
      <right/>
      <top style="thin">
        <color indexed="53"/>
      </top>
      <bottom style="thin">
        <color rgb="FFFF0000"/>
      </bottom>
      <diagonal/>
    </border>
    <border>
      <left/>
      <right/>
      <top style="thin">
        <color rgb="FFFF0000"/>
      </top>
      <bottom style="thin">
        <color rgb="FFFF0000"/>
      </bottom>
      <diagonal/>
    </border>
    <border>
      <left/>
      <right/>
      <top style="thin">
        <color rgb="FFFF0000"/>
      </top>
      <bottom/>
      <diagonal/>
    </border>
    <border>
      <left/>
      <right/>
      <top style="thin">
        <color rgb="FFFF0000"/>
      </top>
      <bottom style="thick">
        <color indexed="12"/>
      </bottom>
      <diagonal/>
    </border>
    <border>
      <left/>
      <right style="thin">
        <color rgb="FF0070C0"/>
      </right>
      <top/>
      <bottom/>
      <diagonal/>
    </border>
    <border>
      <left/>
      <right style="thick">
        <color indexed="8"/>
      </right>
      <top style="thick">
        <color indexed="12"/>
      </top>
      <bottom style="thin">
        <color indexed="8"/>
      </bottom>
      <diagonal/>
    </border>
    <border>
      <left/>
      <right style="medium">
        <color rgb="FF0070C0"/>
      </right>
      <top/>
      <bottom/>
      <diagonal/>
    </border>
    <border>
      <left/>
      <right style="thick">
        <color indexed="8"/>
      </right>
      <top style="thin">
        <color indexed="8"/>
      </top>
      <bottom style="thin">
        <color indexed="8"/>
      </bottom>
      <diagonal/>
    </border>
    <border>
      <left style="medium">
        <color rgb="FF0070C0"/>
      </left>
      <right style="thick">
        <color indexed="8"/>
      </right>
      <top style="thin">
        <color indexed="8"/>
      </top>
      <bottom style="medium">
        <color rgb="FF0070C0"/>
      </bottom>
      <diagonal/>
    </border>
    <border>
      <left/>
      <right style="thick">
        <color indexed="8"/>
      </right>
      <top/>
      <bottom style="thin">
        <color indexed="8"/>
      </bottom>
      <diagonal/>
    </border>
    <border>
      <left/>
      <right style="thick">
        <color indexed="12"/>
      </right>
      <top style="thick">
        <color rgb="FF0070C0"/>
      </top>
      <bottom style="thick">
        <color indexed="12"/>
      </bottom>
      <diagonal/>
    </border>
    <border>
      <left/>
      <right style="thick">
        <color indexed="12"/>
      </right>
      <top style="thick">
        <color indexed="12"/>
      </top>
      <bottom/>
      <diagonal/>
    </border>
    <border>
      <left/>
      <right style="thick">
        <color rgb="FFFF0000"/>
      </right>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n">
        <color indexed="8"/>
      </bottom>
      <diagonal/>
    </border>
    <border>
      <left style="thick">
        <color rgb="FFFF0000"/>
      </left>
      <right style="thick">
        <color rgb="FFFF0000"/>
      </right>
      <top style="thin">
        <color indexed="8"/>
      </top>
      <bottom style="thin">
        <color indexed="8"/>
      </bottom>
      <diagonal/>
    </border>
    <border>
      <left/>
      <right style="thick">
        <color rgb="FFFF0000"/>
      </right>
      <top style="thin">
        <color indexed="8"/>
      </top>
      <bottom style="thick">
        <color rgb="FFFF0000"/>
      </bottom>
      <diagonal/>
    </border>
    <border>
      <left/>
      <right style="thick">
        <color indexed="12"/>
      </right>
      <top style="thick">
        <color rgb="FFFF0000"/>
      </top>
      <bottom style="thin">
        <color rgb="FFFF0000"/>
      </bottom>
      <diagonal/>
    </border>
    <border>
      <left/>
      <right style="thick">
        <color indexed="12"/>
      </right>
      <top/>
      <bottom/>
      <diagonal/>
    </border>
    <border>
      <left/>
      <right style="thick">
        <color indexed="12"/>
      </right>
      <top style="thin">
        <color rgb="FFFF0000"/>
      </top>
      <bottom style="thin">
        <color rgb="FFFF0000"/>
      </bottom>
      <diagonal/>
    </border>
    <border>
      <left/>
      <right style="thick">
        <color indexed="12"/>
      </right>
      <top/>
      <bottom style="thin">
        <color rgb="FFFF0000"/>
      </bottom>
      <diagonal/>
    </border>
    <border>
      <left/>
      <right/>
      <top/>
      <bottom style="thin">
        <color theme="0"/>
      </bottom>
      <diagonal/>
    </border>
    <border>
      <left/>
      <right/>
      <top style="thin">
        <color theme="0"/>
      </top>
      <bottom style="thin">
        <color theme="0"/>
      </bottom>
      <diagonal/>
    </border>
    <border>
      <left/>
      <right/>
      <top style="thin">
        <color theme="0"/>
      </top>
      <bottom style="thin">
        <color rgb="FFFF0000"/>
      </bottom>
      <diagonal/>
    </border>
    <border>
      <left/>
      <right style="thin">
        <color indexed="8"/>
      </right>
      <top/>
      <bottom/>
      <diagonal/>
    </border>
    <border>
      <left/>
      <right style="thin">
        <color indexed="22"/>
      </right>
      <top style="thin">
        <color rgb="FFFF0000"/>
      </top>
      <bottom style="thin">
        <color indexed="8"/>
      </bottom>
      <diagonal/>
    </border>
    <border>
      <left/>
      <right style="thin">
        <color indexed="8"/>
      </right>
      <top style="thin">
        <color indexed="8"/>
      </top>
      <bottom style="thin">
        <color indexed="8"/>
      </bottom>
      <diagonal/>
    </border>
    <border>
      <left style="thin">
        <color indexed="22"/>
      </left>
      <right/>
      <top style="thin">
        <color indexed="8"/>
      </top>
      <bottom style="thin">
        <color indexed="53"/>
      </bottom>
      <diagonal/>
    </border>
    <border>
      <left/>
      <right style="thin">
        <color indexed="8"/>
      </right>
      <top style="thin">
        <color indexed="8"/>
      </top>
      <bottom style="thin">
        <color indexed="53"/>
      </bottom>
      <diagonal/>
    </border>
    <border>
      <left style="thin">
        <color indexed="22"/>
      </left>
      <right/>
      <top style="thin">
        <color indexed="53"/>
      </top>
      <bottom style="thin">
        <color indexed="53"/>
      </bottom>
      <diagonal/>
    </border>
    <border>
      <left/>
      <right style="thin">
        <color indexed="8"/>
      </right>
      <top style="thin">
        <color indexed="53"/>
      </top>
      <bottom style="thin">
        <color indexed="53"/>
      </bottom>
      <diagonal/>
    </border>
    <border>
      <left/>
      <right style="thin">
        <color indexed="22"/>
      </right>
      <top style="thin">
        <color indexed="53"/>
      </top>
      <bottom style="thin">
        <color rgb="FFFF0000"/>
      </bottom>
      <diagonal/>
    </border>
    <border>
      <left style="thin">
        <color indexed="53"/>
      </left>
      <right/>
      <top style="thin">
        <color indexed="53"/>
      </top>
      <bottom style="thin">
        <color indexed="53"/>
      </bottom>
      <diagonal/>
    </border>
    <border>
      <left/>
      <right style="thin">
        <color indexed="22"/>
      </right>
      <top/>
      <bottom style="thin">
        <color indexed="22"/>
      </bottom>
      <diagonal/>
    </border>
    <border>
      <left/>
      <right style="thin">
        <color indexed="53"/>
      </right>
      <top style="thin">
        <color indexed="53"/>
      </top>
      <bottom style="thin">
        <color indexed="53"/>
      </bottom>
      <diagonal/>
    </border>
    <border>
      <left/>
      <right/>
      <top style="thin">
        <color indexed="53"/>
      </top>
      <bottom/>
      <diagonal/>
    </border>
    <border>
      <left/>
      <right style="thin">
        <color indexed="9"/>
      </right>
      <top/>
      <bottom style="thin">
        <color rgb="FFFF0000"/>
      </bottom>
      <diagonal/>
    </border>
    <border>
      <left/>
      <right style="thin">
        <color indexed="9"/>
      </right>
      <top style="thin">
        <color rgb="FFFF0000"/>
      </top>
      <bottom style="thin">
        <color rgb="FFFF0000"/>
      </bottom>
      <diagonal/>
    </border>
    <border>
      <left/>
      <right/>
      <top style="thin">
        <color rgb="FFFF0000"/>
      </top>
      <bottom style="thin">
        <color indexed="8"/>
      </bottom>
      <diagonal/>
    </border>
    <border>
      <left style="medium">
        <color rgb="FF00B050"/>
      </left>
      <right/>
      <top style="thin">
        <color rgb="FFFF0000"/>
      </top>
      <bottom/>
      <diagonal/>
    </border>
    <border>
      <left/>
      <right/>
      <top/>
      <bottom style="double">
        <color rgb="FF00B050"/>
      </bottom>
      <diagonal/>
    </border>
    <border>
      <left style="thin">
        <color indexed="64"/>
      </left>
      <right style="thin">
        <color indexed="64"/>
      </right>
      <top style="double">
        <color rgb="FF00B050"/>
      </top>
      <bottom/>
      <diagonal/>
    </border>
    <border>
      <left style="thin">
        <color indexed="64"/>
      </left>
      <right/>
      <top style="double">
        <color rgb="FF00B050"/>
      </top>
      <bottom/>
      <diagonal/>
    </border>
    <border>
      <left/>
      <right style="double">
        <color rgb="FF00B050"/>
      </right>
      <top/>
      <bottom style="thin">
        <color indexed="64"/>
      </bottom>
      <diagonal/>
    </border>
    <border>
      <left style="double">
        <color rgb="FF00B050"/>
      </left>
      <right style="double">
        <color rgb="FF00B050"/>
      </right>
      <top/>
      <bottom style="double">
        <color rgb="FF00B050"/>
      </bottom>
      <diagonal/>
    </border>
    <border>
      <left style="thin">
        <color rgb="FFFF0000"/>
      </left>
      <right style="thin">
        <color rgb="FFFF0000"/>
      </right>
      <top style="thin">
        <color rgb="FFFF0000"/>
      </top>
      <bottom style="thin">
        <color rgb="FFFF0000"/>
      </bottom>
      <diagonal/>
    </border>
    <border>
      <left style="thin">
        <color rgb="FF00B050"/>
      </left>
      <right style="thin">
        <color rgb="FF00B050"/>
      </right>
      <top style="double">
        <color indexed="64"/>
      </top>
      <bottom style="thin">
        <color rgb="FF00B050"/>
      </bottom>
      <diagonal/>
    </border>
    <border>
      <left style="thin">
        <color rgb="FF00B050"/>
      </left>
      <right/>
      <top style="thin">
        <color rgb="FF00B050"/>
      </top>
      <bottom/>
      <diagonal/>
    </border>
    <border>
      <left style="double">
        <color indexed="64"/>
      </left>
      <right style="double">
        <color indexed="64"/>
      </right>
      <top style="double">
        <color indexed="64"/>
      </top>
      <bottom style="thin">
        <color rgb="FF00B050"/>
      </bottom>
      <diagonal/>
    </border>
    <border>
      <left style="double">
        <color indexed="64"/>
      </left>
      <right style="double">
        <color indexed="64"/>
      </right>
      <top style="thin">
        <color rgb="FF00B050"/>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medium">
        <color rgb="FFFF0000"/>
      </top>
      <bottom/>
      <diagonal/>
    </border>
    <border>
      <left/>
      <right style="double">
        <color indexed="64"/>
      </right>
      <top/>
      <bottom style="medium">
        <color rgb="FFFF0000"/>
      </bottom>
      <diagonal/>
    </border>
    <border>
      <left/>
      <right style="double">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bottom/>
      <diagonal/>
    </border>
    <border>
      <left/>
      <right style="double">
        <color rgb="FFFF0000"/>
      </right>
      <top/>
      <bottom/>
      <diagonal/>
    </border>
    <border>
      <left/>
      <right/>
      <top/>
      <bottom style="thick">
        <color rgb="FFFF0000"/>
      </bottom>
      <diagonal/>
    </border>
    <border>
      <left style="thin">
        <color rgb="FF00B050"/>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style="thin">
        <color rgb="FF00B050"/>
      </right>
      <top/>
      <bottom/>
      <diagonal/>
    </border>
    <border>
      <left style="double">
        <color rgb="FFFF0000"/>
      </left>
      <right style="medium">
        <color rgb="FFFF0000"/>
      </right>
      <top style="double">
        <color rgb="FFFF0000"/>
      </top>
      <bottom style="medium">
        <color rgb="FFFF0000"/>
      </bottom>
      <diagonal/>
    </border>
    <border>
      <left style="medium">
        <color rgb="FFFF0000"/>
      </left>
      <right style="medium">
        <color rgb="FFFF0000"/>
      </right>
      <top style="double">
        <color rgb="FFFF0000"/>
      </top>
      <bottom style="medium">
        <color rgb="FFFF0000"/>
      </bottom>
      <diagonal/>
    </border>
    <border>
      <left style="medium">
        <color rgb="FFFF0000"/>
      </left>
      <right style="double">
        <color rgb="FFFF0000"/>
      </right>
      <top style="double">
        <color rgb="FFFF0000"/>
      </top>
      <bottom style="medium">
        <color rgb="FFFF0000"/>
      </bottom>
      <diagonal/>
    </border>
    <border>
      <left style="double">
        <color rgb="FFFF0000"/>
      </left>
      <right style="medium">
        <color rgb="FFFF0000"/>
      </right>
      <top style="medium">
        <color rgb="FFFF0000"/>
      </top>
      <bottom style="double">
        <color rgb="FFFF0000"/>
      </bottom>
      <diagonal/>
    </border>
    <border>
      <left style="medium">
        <color rgb="FFFF0000"/>
      </left>
      <right style="medium">
        <color rgb="FFFF0000"/>
      </right>
      <top style="medium">
        <color rgb="FFFF0000"/>
      </top>
      <bottom style="double">
        <color rgb="FFFF0000"/>
      </bottom>
      <diagonal/>
    </border>
    <border>
      <left style="medium">
        <color rgb="FFFF0000"/>
      </left>
      <right style="double">
        <color rgb="FFFF0000"/>
      </right>
      <top style="medium">
        <color rgb="FFFF0000"/>
      </top>
      <bottom style="double">
        <color rgb="FFFF0000"/>
      </bottom>
      <diagonal/>
    </border>
    <border>
      <left style="double">
        <color rgb="FF00B050"/>
      </left>
      <right style="double">
        <color rgb="FF00B050"/>
      </right>
      <top style="double">
        <color rgb="FF00B050"/>
      </top>
      <bottom style="double">
        <color rgb="FF00B050"/>
      </bottom>
      <diagonal/>
    </border>
    <border>
      <left style="double">
        <color theme="1"/>
      </left>
      <right style="double">
        <color theme="1"/>
      </right>
      <top style="double">
        <color theme="1"/>
      </top>
      <bottom style="double">
        <color theme="1"/>
      </bottom>
      <diagonal/>
    </border>
    <border>
      <left style="double">
        <color rgb="FF00B050"/>
      </left>
      <right/>
      <top style="double">
        <color rgb="FF00B050"/>
      </top>
      <bottom/>
      <diagonal/>
    </border>
    <border>
      <left/>
      <right style="double">
        <color rgb="FF00B050"/>
      </right>
      <top style="double">
        <color rgb="FF00B050"/>
      </top>
      <bottom/>
      <diagonal/>
    </border>
    <border>
      <left/>
      <right style="double">
        <color rgb="FF00B050"/>
      </right>
      <top/>
      <bottom style="double">
        <color rgb="FF00B050"/>
      </bottom>
      <diagonal/>
    </border>
    <border>
      <left/>
      <right/>
      <top style="double">
        <color rgb="FF00B050"/>
      </top>
      <bottom/>
      <diagonal/>
    </border>
    <border>
      <left style="double">
        <color rgb="FF7030A0"/>
      </left>
      <right style="double">
        <color rgb="FF7030A0"/>
      </right>
      <top style="double">
        <color rgb="FF7030A0"/>
      </top>
      <bottom style="double">
        <color rgb="FF7030A0"/>
      </bottom>
      <diagonal/>
    </border>
    <border>
      <left style="thin">
        <color indexed="64"/>
      </left>
      <right/>
      <top style="medium">
        <color indexed="64"/>
      </top>
      <bottom/>
      <diagonal/>
    </border>
    <border>
      <left/>
      <right style="thin">
        <color indexed="64"/>
      </right>
      <top style="medium">
        <color indexed="64"/>
      </top>
      <bottom/>
      <diagonal/>
    </border>
    <border>
      <left style="double">
        <color rgb="FF7030A0"/>
      </left>
      <right/>
      <top style="double">
        <color rgb="FF7030A0"/>
      </top>
      <bottom style="double">
        <color rgb="FF7030A0"/>
      </bottom>
      <diagonal/>
    </border>
    <border>
      <left/>
      <right/>
      <top style="double">
        <color rgb="FF7030A0"/>
      </top>
      <bottom style="double">
        <color rgb="FF7030A0"/>
      </bottom>
      <diagonal/>
    </border>
    <border>
      <left/>
      <right style="double">
        <color rgb="FF7030A0"/>
      </right>
      <top style="double">
        <color rgb="FF7030A0"/>
      </top>
      <bottom style="double">
        <color rgb="FF7030A0"/>
      </bottom>
      <diagonal/>
    </border>
    <border>
      <left style="double">
        <color rgb="FF92D050"/>
      </left>
      <right style="double">
        <color rgb="FF92D050"/>
      </right>
      <top style="double">
        <color rgb="FF92D050"/>
      </top>
      <bottom style="double">
        <color rgb="FF92D050"/>
      </bottom>
      <diagonal/>
    </border>
    <border>
      <left/>
      <right/>
      <top/>
      <bottom style="double">
        <color rgb="FF92D050"/>
      </bottom>
      <diagonal/>
    </border>
    <border>
      <left/>
      <right/>
      <top style="double">
        <color rgb="FF92D050"/>
      </top>
      <bottom/>
      <diagonal/>
    </border>
    <border>
      <left style="double">
        <color rgb="FF92D050"/>
      </left>
      <right/>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style="double">
        <color rgb="FF00B050"/>
      </top>
      <bottom style="medium">
        <color indexed="64"/>
      </bottom>
      <diagonal/>
    </border>
    <border>
      <left style="medium">
        <color rgb="FF00B050"/>
      </left>
      <right style="thin">
        <color rgb="FF000000"/>
      </right>
      <top/>
      <bottom style="thin">
        <color rgb="FF000000"/>
      </bottom>
      <diagonal/>
    </border>
    <border>
      <left style="medium">
        <color rgb="FF00B050"/>
      </left>
      <right/>
      <top style="thin">
        <color rgb="FF000000"/>
      </top>
      <bottom style="thin">
        <color rgb="FF000000"/>
      </bottom>
      <diagonal/>
    </border>
    <border>
      <left/>
      <right style="medium">
        <color rgb="FF00B050"/>
      </right>
      <top style="double">
        <color rgb="FF00B050"/>
      </top>
      <bottom style="thin">
        <color rgb="FF000000"/>
      </bottom>
      <diagonal/>
    </border>
    <border>
      <left style="thin">
        <color rgb="FF000000"/>
      </left>
      <right style="medium">
        <color rgb="FF00B050"/>
      </right>
      <top style="thin">
        <color rgb="FF000000"/>
      </top>
      <bottom/>
      <diagonal/>
    </border>
    <border>
      <left style="thin">
        <color rgb="FF000000"/>
      </left>
      <right style="medium">
        <color rgb="FF00B050"/>
      </right>
      <top style="thin">
        <color rgb="FF000000"/>
      </top>
      <bottom style="thin">
        <color rgb="FF000000"/>
      </bottom>
      <diagonal/>
    </border>
    <border>
      <left style="thin">
        <color rgb="FF000000"/>
      </left>
      <right style="medium">
        <color rgb="FF00B050"/>
      </right>
      <top style="medium">
        <color indexed="64"/>
      </top>
      <bottom style="double">
        <color rgb="FF00B050"/>
      </bottom>
      <diagonal/>
    </border>
    <border>
      <left style="double">
        <color rgb="FF00B050"/>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style="double">
        <color rgb="FF92D050"/>
      </top>
      <bottom style="double">
        <color rgb="FF00B050"/>
      </bottom>
      <diagonal/>
    </border>
    <border>
      <left/>
      <right style="double">
        <color rgb="FF92D050"/>
      </right>
      <top/>
      <bottom/>
      <diagonal/>
    </border>
    <border>
      <left style="double">
        <color rgb="FF00B050"/>
      </left>
      <right style="double">
        <color rgb="FF00B050"/>
      </right>
      <top style="double">
        <color rgb="FF00B050"/>
      </top>
      <bottom/>
      <diagonal/>
    </border>
    <border>
      <left style="double">
        <color rgb="FF00B050"/>
      </left>
      <right style="double">
        <color rgb="FF00B050"/>
      </right>
      <top/>
      <bottom/>
      <diagonal/>
    </border>
    <border>
      <left style="double">
        <color theme="1"/>
      </left>
      <right/>
      <top style="double">
        <color theme="1"/>
      </top>
      <bottom/>
      <diagonal/>
    </border>
    <border>
      <left/>
      <right/>
      <top style="double">
        <color theme="1"/>
      </top>
      <bottom/>
      <diagonal/>
    </border>
    <border>
      <left/>
      <right style="double">
        <color rgb="FF00B050"/>
      </right>
      <top style="double">
        <color theme="1"/>
      </top>
      <bottom/>
      <diagonal/>
    </border>
    <border>
      <left style="double">
        <color theme="1"/>
      </left>
      <right/>
      <top/>
      <bottom style="double">
        <color theme="1"/>
      </bottom>
      <diagonal/>
    </border>
    <border>
      <left/>
      <right/>
      <top/>
      <bottom style="double">
        <color theme="1"/>
      </bottom>
      <diagonal/>
    </border>
    <border>
      <left/>
      <right style="double">
        <color rgb="FF00B050"/>
      </right>
      <top/>
      <bottom style="double">
        <color theme="1"/>
      </bottom>
      <diagonal/>
    </border>
    <border>
      <left style="double">
        <color rgb="FF92D050"/>
      </left>
      <right style="double">
        <color rgb="FF92D050"/>
      </right>
      <top/>
      <bottom style="double">
        <color rgb="FF92D05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double">
        <color theme="1"/>
      </right>
      <top/>
      <bottom/>
      <diagonal/>
    </border>
    <border>
      <left/>
      <right style="medium">
        <color rgb="FFC00000"/>
      </right>
      <top/>
      <bottom/>
      <diagonal/>
    </border>
    <border>
      <left style="medium">
        <color rgb="FFC00000"/>
      </left>
      <right/>
      <top/>
      <bottom/>
      <diagonal/>
    </border>
    <border>
      <left style="medium">
        <color rgb="FFC00000"/>
      </left>
      <right style="double">
        <color rgb="FF00B050"/>
      </right>
      <top/>
      <bottom/>
      <diagonal/>
    </border>
    <border>
      <left style="medium">
        <color rgb="FFC00000"/>
      </left>
      <right style="double">
        <color rgb="FF00B050"/>
      </right>
      <top/>
      <bottom style="medium">
        <color rgb="FFC00000"/>
      </bottom>
      <diagonal/>
    </border>
    <border>
      <left style="thin">
        <color rgb="FFC00000"/>
      </left>
      <right style="medium">
        <color rgb="FFC00000"/>
      </right>
      <top/>
      <bottom style="medium">
        <color rgb="FFC00000"/>
      </bottom>
      <diagonal/>
    </border>
    <border>
      <left style="double">
        <color rgb="FF00B050"/>
      </left>
      <right/>
      <top style="double">
        <color rgb="FF00B050"/>
      </top>
      <bottom style="medium">
        <color rgb="FFC00000"/>
      </bottom>
      <diagonal/>
    </border>
    <border>
      <left/>
      <right/>
      <top style="double">
        <color rgb="FF00B050"/>
      </top>
      <bottom style="medium">
        <color rgb="FFC00000"/>
      </bottom>
      <diagonal/>
    </border>
    <border>
      <left/>
      <right style="double">
        <color rgb="FF00B050"/>
      </right>
      <top style="double">
        <color rgb="FF00B050"/>
      </top>
      <bottom style="medium">
        <color rgb="FFC00000"/>
      </bottom>
      <diagonal/>
    </border>
    <border>
      <left style="double">
        <color rgb="FF00B050"/>
      </left>
      <right/>
      <top/>
      <bottom style="double">
        <color rgb="FF00B050"/>
      </bottom>
      <diagonal/>
    </border>
    <border>
      <left/>
      <right style="double">
        <color rgb="FF00B050"/>
      </right>
      <top/>
      <bottom/>
      <diagonal/>
    </border>
    <border>
      <left style="medium">
        <color rgb="FF7030A0"/>
      </left>
      <right/>
      <top style="medium">
        <color rgb="FF7030A0"/>
      </top>
      <bottom style="thin">
        <color rgb="FFE36C09"/>
      </bottom>
      <diagonal/>
    </border>
    <border>
      <left/>
      <right/>
      <top style="medium">
        <color rgb="FF7030A0"/>
      </top>
      <bottom style="thin">
        <color rgb="FFE36C09"/>
      </bottom>
      <diagonal/>
    </border>
    <border>
      <left/>
      <right style="medium">
        <color rgb="FFE36C09"/>
      </right>
      <top style="medium">
        <color rgb="FF7030A0"/>
      </top>
      <bottom style="thin">
        <color rgb="FFE36C09"/>
      </bottom>
      <diagonal/>
    </border>
    <border>
      <left style="medium">
        <color rgb="FFE36C09"/>
      </left>
      <right/>
      <top/>
      <bottom/>
      <diagonal/>
    </border>
    <border>
      <left style="medium">
        <color rgb="FFE36C09"/>
      </left>
      <right/>
      <top style="medium">
        <color rgb="FFE36C09"/>
      </top>
      <bottom/>
      <diagonal/>
    </border>
    <border>
      <left/>
      <right/>
      <top style="medium">
        <color rgb="FFE36C09"/>
      </top>
      <bottom/>
      <diagonal/>
    </border>
    <border>
      <left/>
      <right style="medium">
        <color rgb="FFE36C09"/>
      </right>
      <top style="medium">
        <color rgb="FFE36C09"/>
      </top>
      <bottom/>
      <diagonal/>
    </border>
    <border>
      <left style="medium">
        <color rgb="FF7030A0"/>
      </left>
      <right/>
      <top style="thin">
        <color rgb="FFE36C09"/>
      </top>
      <bottom style="thin">
        <color rgb="FFE36C09"/>
      </bottom>
      <diagonal/>
    </border>
    <border>
      <left/>
      <right/>
      <top style="thin">
        <color rgb="FFE36C09"/>
      </top>
      <bottom style="thin">
        <color rgb="FFE36C09"/>
      </bottom>
      <diagonal/>
    </border>
    <border>
      <left/>
      <right style="thin">
        <color rgb="FFE36C09"/>
      </right>
      <top style="thin">
        <color rgb="FFE36C09"/>
      </top>
      <bottom style="thin">
        <color rgb="FFE36C09"/>
      </bottom>
      <diagonal/>
    </border>
    <border>
      <left style="thin">
        <color rgb="FFE36C09"/>
      </left>
      <right/>
      <top style="thin">
        <color rgb="FFE36C09"/>
      </top>
      <bottom style="thin">
        <color rgb="FFE36C09"/>
      </bottom>
      <diagonal/>
    </border>
    <border>
      <left/>
      <right style="medium">
        <color rgb="FFE36C09"/>
      </right>
      <top style="thin">
        <color rgb="FFE36C09"/>
      </top>
      <bottom style="thin">
        <color rgb="FFE36C09"/>
      </bottom>
      <diagonal/>
    </border>
    <border>
      <left style="medium">
        <color rgb="FFE36C09"/>
      </left>
      <right style="medium">
        <color rgb="FFE36C09"/>
      </right>
      <top/>
      <bottom/>
      <diagonal/>
    </border>
    <border>
      <left style="medium">
        <color rgb="FFE36C09"/>
      </left>
      <right/>
      <top/>
      <bottom style="thin">
        <color rgb="FFE36C09"/>
      </bottom>
      <diagonal/>
    </border>
    <border>
      <left/>
      <right/>
      <top/>
      <bottom style="thin">
        <color rgb="FFE36C09"/>
      </bottom>
      <diagonal/>
    </border>
    <border>
      <left/>
      <right style="medium">
        <color rgb="FFE36C09"/>
      </right>
      <top/>
      <bottom style="thin">
        <color rgb="FFE36C09"/>
      </bottom>
      <diagonal/>
    </border>
    <border>
      <left style="medium">
        <color rgb="FF7030A0"/>
      </left>
      <right/>
      <top/>
      <bottom style="thin">
        <color rgb="FFE36C09"/>
      </bottom>
      <diagonal/>
    </border>
    <border>
      <left/>
      <right style="thin">
        <color rgb="FFE36C09"/>
      </right>
      <top/>
      <bottom style="thin">
        <color rgb="FFE36C09"/>
      </bottom>
      <diagonal/>
    </border>
    <border>
      <left style="medium">
        <color rgb="FFE36C09"/>
      </left>
      <right/>
      <top style="thin">
        <color rgb="FFE36C09"/>
      </top>
      <bottom style="thin">
        <color rgb="FFE36C09"/>
      </bottom>
      <diagonal/>
    </border>
    <border>
      <left style="thin">
        <color rgb="FFE36C09"/>
      </left>
      <right/>
      <top/>
      <bottom style="thin">
        <color rgb="FFE36C09"/>
      </bottom>
      <diagonal/>
    </border>
    <border>
      <left style="medium">
        <color rgb="FFE36C09"/>
      </left>
      <right/>
      <top style="thin">
        <color rgb="FFE36C09"/>
      </top>
      <bottom/>
      <diagonal/>
    </border>
    <border>
      <left/>
      <right/>
      <top style="thin">
        <color rgb="FFE36C09"/>
      </top>
      <bottom/>
      <diagonal/>
    </border>
    <border>
      <left/>
      <right style="medium">
        <color rgb="FFE36C09"/>
      </right>
      <top style="thin">
        <color rgb="FFE36C09"/>
      </top>
      <bottom/>
      <diagonal/>
    </border>
    <border>
      <left style="medium">
        <color rgb="FF7030A0"/>
      </left>
      <right/>
      <top style="thin">
        <color rgb="FFE36C09"/>
      </top>
      <bottom/>
      <diagonal/>
    </border>
    <border>
      <left/>
      <right style="thin">
        <color rgb="FF76923C"/>
      </right>
      <top style="thin">
        <color rgb="FFE36C09"/>
      </top>
      <bottom/>
      <diagonal/>
    </border>
    <border>
      <left/>
      <right style="medium">
        <color rgb="FFE36C09"/>
      </right>
      <top/>
      <bottom/>
      <diagonal/>
    </border>
    <border>
      <left style="medium">
        <color rgb="FF7030A0"/>
      </left>
      <right/>
      <top style="thin">
        <color rgb="FFE36C09"/>
      </top>
      <bottom style="thin">
        <color rgb="FF76923C"/>
      </bottom>
      <diagonal/>
    </border>
    <border>
      <left/>
      <right/>
      <top style="thin">
        <color rgb="FFE36C09"/>
      </top>
      <bottom style="thin">
        <color rgb="FF76923C"/>
      </bottom>
      <diagonal/>
    </border>
    <border>
      <left/>
      <right style="thin">
        <color rgb="FF76923C"/>
      </right>
      <top style="thin">
        <color rgb="FFE36C09"/>
      </top>
      <bottom style="thin">
        <color rgb="FF76923C"/>
      </bottom>
      <diagonal/>
    </border>
    <border>
      <left/>
      <right style="medium">
        <color rgb="FFE36C09"/>
      </right>
      <top style="thin">
        <color rgb="FFE36C09"/>
      </top>
      <bottom style="thin">
        <color rgb="FF76923C"/>
      </bottom>
      <diagonal/>
    </border>
    <border>
      <left/>
      <right style="thin">
        <color rgb="FF76923C"/>
      </right>
      <top/>
      <bottom style="thin">
        <color rgb="FFE36C09"/>
      </bottom>
      <diagonal/>
    </border>
    <border>
      <left style="medium">
        <color rgb="FF7030A0"/>
      </left>
      <right/>
      <top/>
      <bottom/>
      <diagonal/>
    </border>
    <border>
      <left/>
      <right style="thin">
        <color rgb="FF76923C"/>
      </right>
      <top/>
      <bottom/>
      <diagonal/>
    </border>
    <border>
      <left/>
      <right style="thin">
        <color rgb="FF76923C"/>
      </right>
      <top style="thin">
        <color rgb="FFE36C09"/>
      </top>
      <bottom style="thin">
        <color rgb="FFE36C09"/>
      </bottom>
      <diagonal/>
    </border>
    <border>
      <left style="medium">
        <color rgb="FF7030A0"/>
      </left>
      <right/>
      <top/>
      <bottom style="thin">
        <color rgb="FF76923C"/>
      </bottom>
      <diagonal/>
    </border>
    <border>
      <left/>
      <right/>
      <top/>
      <bottom style="thin">
        <color rgb="FF76923C"/>
      </bottom>
      <diagonal/>
    </border>
    <border>
      <left/>
      <right style="thin">
        <color rgb="FF76923C"/>
      </right>
      <top/>
      <bottom style="thin">
        <color rgb="FF76923C"/>
      </bottom>
      <diagonal/>
    </border>
    <border>
      <left style="medium">
        <color rgb="FF7030A0"/>
      </left>
      <right/>
      <top/>
      <bottom style="medium">
        <color rgb="FFE36C09"/>
      </bottom>
      <diagonal/>
    </border>
    <border>
      <left/>
      <right/>
      <top/>
      <bottom style="medium">
        <color rgb="FFE36C09"/>
      </bottom>
      <diagonal/>
    </border>
    <border>
      <left/>
      <right style="thin">
        <color rgb="FF76923C"/>
      </right>
      <top/>
      <bottom style="medium">
        <color rgb="FFE36C09"/>
      </bottom>
      <diagonal/>
    </border>
    <border>
      <left/>
      <right style="medium">
        <color rgb="FFE36C09"/>
      </right>
      <top/>
      <bottom style="medium">
        <color rgb="FFE36C09"/>
      </bottom>
      <diagonal/>
    </border>
    <border>
      <left style="medium">
        <color rgb="FFE36C09"/>
      </left>
      <right/>
      <top/>
      <bottom style="medium">
        <color rgb="FFE36C09"/>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indexed="64"/>
      </right>
      <top/>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right style="medium">
        <color rgb="FF7030A0"/>
      </right>
      <top/>
      <bottom/>
      <diagonal/>
    </border>
    <border>
      <left/>
      <right style="medium">
        <color rgb="FF7030A0"/>
      </right>
      <top style="thin">
        <color rgb="FF000000"/>
      </top>
      <bottom style="thin">
        <color rgb="FF000000"/>
      </bottom>
      <diagonal/>
    </border>
    <border>
      <left/>
      <right style="thin">
        <color rgb="FF000000"/>
      </right>
      <top style="thin">
        <color rgb="FF000000"/>
      </top>
      <bottom style="medium">
        <color rgb="FF7030A0"/>
      </bottom>
      <diagonal/>
    </border>
    <border>
      <left style="thin">
        <color rgb="FF000000"/>
      </left>
      <right/>
      <top style="thin">
        <color rgb="FF000000"/>
      </top>
      <bottom style="medium">
        <color rgb="FF7030A0"/>
      </bottom>
      <diagonal/>
    </border>
    <border>
      <left/>
      <right style="medium">
        <color rgb="FF7030A0"/>
      </right>
      <top style="thin">
        <color rgb="FF00000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thin">
        <color rgb="FF000000"/>
      </top>
      <bottom style="medium">
        <color rgb="FF7030A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rgb="FF00B050"/>
      </top>
      <bottom style="double">
        <color rgb="FF00B050"/>
      </bottom>
      <diagonal/>
    </border>
    <border>
      <left style="medium">
        <color indexed="64"/>
      </left>
      <right style="double">
        <color rgb="FF00B050"/>
      </right>
      <top style="medium">
        <color indexed="64"/>
      </top>
      <bottom style="medium">
        <color indexed="64"/>
      </bottom>
      <diagonal/>
    </border>
    <border>
      <left style="double">
        <color rgb="FF00B050"/>
      </left>
      <right style="double">
        <color rgb="FF00B050"/>
      </right>
      <top style="medium">
        <color indexed="64"/>
      </top>
      <bottom style="medium">
        <color indexed="64"/>
      </bottom>
      <diagonal/>
    </border>
    <border>
      <left style="double">
        <color rgb="FF00B050"/>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rgb="FF7030A0"/>
      </left>
      <right/>
      <top/>
      <bottom/>
      <diagonal/>
    </border>
    <border>
      <left style="double">
        <color rgb="FF00B050"/>
      </left>
      <right/>
      <top/>
      <bottom/>
      <diagonal/>
    </border>
    <border>
      <left style="medium">
        <color rgb="FF000000"/>
      </left>
      <right/>
      <top style="medium">
        <color rgb="FF000000"/>
      </top>
      <bottom style="medium">
        <color rgb="FF000000"/>
      </bottom>
      <diagonal/>
    </border>
    <border>
      <left style="thin">
        <color indexed="64"/>
      </left>
      <right style="double">
        <color indexed="64"/>
      </right>
      <top style="double">
        <color indexed="64"/>
      </top>
      <bottom/>
      <diagonal/>
    </border>
    <border>
      <left/>
      <right/>
      <top style="double">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E36C09"/>
      </left>
      <right style="medium">
        <color rgb="FFE36C09"/>
      </right>
      <top style="medium">
        <color indexed="64"/>
      </top>
      <bottom/>
      <diagonal/>
    </border>
  </borders>
  <cellStyleXfs count="12">
    <xf numFmtId="0" fontId="0" fillId="0" borderId="0"/>
    <xf numFmtId="9" fontId="5" fillId="0" borderId="0" applyFont="0" applyFill="0" applyBorder="0" applyAlignment="0" applyProtection="0"/>
    <xf numFmtId="0" fontId="9" fillId="0" borderId="0"/>
    <xf numFmtId="0" fontId="9" fillId="0" borderId="0"/>
    <xf numFmtId="0" fontId="111" fillId="0" borderId="0" applyNumberFormat="0" applyFill="0" applyBorder="0" applyAlignment="0" applyProtection="0">
      <alignment vertical="top"/>
      <protection locked="0"/>
    </xf>
    <xf numFmtId="164" fontId="5" fillId="0" borderId="0" applyFont="0" applyFill="0" applyBorder="0" applyAlignment="0" applyProtection="0"/>
    <xf numFmtId="0" fontId="64" fillId="68" borderId="124">
      <alignment horizontal="center" vertical="center" wrapText="1"/>
      <protection locked="0"/>
    </xf>
    <xf numFmtId="0" fontId="9" fillId="0" borderId="0"/>
    <xf numFmtId="168" fontId="9" fillId="0" borderId="0" applyFont="0" applyFill="0" applyBorder="0" applyAlignment="0" applyProtection="0"/>
    <xf numFmtId="171" fontId="9" fillId="0" borderId="0" applyFont="0" applyFill="0" applyBorder="0" applyAlignment="0" applyProtection="0"/>
    <xf numFmtId="43" fontId="5" fillId="0" borderId="0" applyFont="0" applyFill="0" applyBorder="0" applyAlignment="0" applyProtection="0"/>
    <xf numFmtId="0" fontId="290" fillId="0" borderId="0" applyNumberFormat="0" applyFill="0" applyBorder="0" applyAlignment="0" applyProtection="0">
      <alignment vertical="top"/>
      <protection locked="0"/>
    </xf>
  </cellStyleXfs>
  <cellXfs count="1443">
    <xf numFmtId="0" fontId="0" fillId="0" borderId="0" xfId="0"/>
    <xf numFmtId="0" fontId="0" fillId="0" borderId="0" xfId="0" applyAlignment="1">
      <alignment horizontal="center"/>
    </xf>
    <xf numFmtId="0" fontId="69" fillId="33" borderId="9" xfId="0" applyFont="1" applyFill="1" applyBorder="1" applyAlignment="1">
      <alignment horizontal="center" vertical="center"/>
    </xf>
    <xf numFmtId="0" fontId="71" fillId="33" borderId="53" xfId="0" applyFont="1" applyFill="1" applyBorder="1" applyAlignment="1">
      <alignment horizontal="center" vertical="center"/>
    </xf>
    <xf numFmtId="0" fontId="71" fillId="33" borderId="50" xfId="0" applyFont="1" applyFill="1" applyBorder="1" applyAlignment="1">
      <alignment horizontal="center" vertical="center"/>
    </xf>
    <xf numFmtId="0" fontId="76" fillId="0" borderId="0" xfId="0" applyFont="1" applyAlignment="1">
      <alignment horizontal="center" vertical="center"/>
    </xf>
    <xf numFmtId="0" fontId="0" fillId="0" borderId="0" xfId="0" applyAlignment="1">
      <alignment horizontal="center" vertical="center"/>
    </xf>
    <xf numFmtId="0" fontId="78" fillId="36" borderId="4" xfId="0" applyFont="1" applyFill="1" applyBorder="1" applyAlignment="1">
      <alignment horizontal="center" vertical="center"/>
    </xf>
    <xf numFmtId="0" fontId="73" fillId="33" borderId="54" xfId="0" applyFont="1" applyFill="1" applyBorder="1" applyAlignment="1">
      <alignment horizontal="center" vertical="center"/>
    </xf>
    <xf numFmtId="0" fontId="78" fillId="36" borderId="32" xfId="0" applyFont="1" applyFill="1" applyBorder="1" applyAlignment="1">
      <alignment horizontal="center" vertical="center"/>
    </xf>
    <xf numFmtId="0" fontId="76" fillId="0" borderId="59" xfId="0" applyFont="1" applyBorder="1" applyAlignment="1">
      <alignment horizontal="center" vertical="center"/>
    </xf>
    <xf numFmtId="0" fontId="0" fillId="37" borderId="61" xfId="0" applyFill="1" applyBorder="1" applyAlignment="1">
      <alignment horizontal="center" vertical="center"/>
    </xf>
    <xf numFmtId="0" fontId="81" fillId="37" borderId="68" xfId="0" applyFont="1" applyFill="1" applyBorder="1" applyAlignment="1">
      <alignment horizontal="center"/>
    </xf>
    <xf numFmtId="0" fontId="82" fillId="33" borderId="65" xfId="0" applyFont="1" applyFill="1" applyBorder="1" applyAlignment="1">
      <alignment horizontal="center" vertical="center"/>
    </xf>
    <xf numFmtId="0" fontId="0" fillId="0" borderId="0" xfId="0" applyProtection="1">
      <protection hidden="1"/>
    </xf>
    <xf numFmtId="0" fontId="0" fillId="0" borderId="42" xfId="0" applyBorder="1" applyProtection="1">
      <protection hidden="1"/>
    </xf>
    <xf numFmtId="0" fontId="13" fillId="0" borderId="73" xfId="2" applyFont="1" applyBorder="1" applyAlignment="1">
      <alignment horizontal="right" vertical="center"/>
    </xf>
    <xf numFmtId="0" fontId="23" fillId="0" borderId="73" xfId="2" applyFont="1" applyBorder="1" applyAlignment="1">
      <alignment horizontal="center" vertical="center"/>
    </xf>
    <xf numFmtId="0" fontId="11" fillId="0" borderId="73" xfId="2" applyFont="1" applyBorder="1" applyAlignment="1">
      <alignment vertical="center"/>
    </xf>
    <xf numFmtId="9" fontId="0" fillId="0" borderId="73" xfId="1" applyFont="1" applyFill="1" applyBorder="1" applyAlignment="1">
      <alignment horizontal="center"/>
    </xf>
    <xf numFmtId="0" fontId="33" fillId="0" borderId="73" xfId="2" applyFont="1" applyBorder="1" applyAlignment="1">
      <alignment horizontal="right" vertical="center"/>
    </xf>
    <xf numFmtId="9" fontId="13" fillId="0" borderId="73" xfId="2" applyNumberFormat="1" applyFont="1" applyBorder="1" applyAlignment="1">
      <alignment horizontal="center" vertical="center"/>
    </xf>
    <xf numFmtId="0" fontId="11" fillId="0" borderId="73" xfId="2" applyFont="1" applyBorder="1"/>
    <xf numFmtId="0" fontId="91" fillId="0" borderId="0" xfId="0" applyFont="1"/>
    <xf numFmtId="0" fontId="0" fillId="0" borderId="0" xfId="0" applyProtection="1">
      <protection locked="0"/>
    </xf>
    <xf numFmtId="0" fontId="79" fillId="36" borderId="60" xfId="0" applyFont="1" applyFill="1" applyBorder="1" applyAlignment="1" applyProtection="1">
      <alignment horizontal="center" vertical="center"/>
      <protection locked="0"/>
    </xf>
    <xf numFmtId="0" fontId="88" fillId="22" borderId="0" xfId="0" applyFont="1" applyFill="1" applyAlignment="1" applyProtection="1">
      <alignment horizontal="center" vertical="top"/>
      <protection hidden="1"/>
    </xf>
    <xf numFmtId="0" fontId="0" fillId="2" borderId="0" xfId="0" applyFill="1"/>
    <xf numFmtId="0" fontId="97" fillId="43" borderId="4" xfId="0" applyFont="1" applyFill="1" applyBorder="1" applyAlignment="1" applyProtection="1">
      <alignment vertical="center"/>
      <protection hidden="1"/>
    </xf>
    <xf numFmtId="0" fontId="50" fillId="40" borderId="0" xfId="0" applyFont="1" applyFill="1"/>
    <xf numFmtId="0" fontId="50" fillId="22" borderId="0" xfId="0" applyFont="1" applyFill="1"/>
    <xf numFmtId="2" fontId="14" fillId="0" borderId="73" xfId="2" applyNumberFormat="1" applyFont="1" applyBorder="1" applyAlignment="1" applyProtection="1">
      <alignment horizontal="right" vertical="center"/>
      <protection hidden="1"/>
    </xf>
    <xf numFmtId="2" fontId="16" fillId="0" borderId="73" xfId="2" applyNumberFormat="1" applyFont="1" applyBorder="1" applyAlignment="1" applyProtection="1">
      <alignment horizontal="right" vertical="center"/>
      <protection hidden="1"/>
    </xf>
    <xf numFmtId="2" fontId="31" fillId="0" borderId="73" xfId="2" applyNumberFormat="1" applyFont="1" applyBorder="1" applyAlignment="1" applyProtection="1">
      <alignment horizontal="right" vertical="center"/>
      <protection hidden="1"/>
    </xf>
    <xf numFmtId="0" fontId="30" fillId="14" borderId="73" xfId="2" applyFont="1" applyFill="1" applyBorder="1" applyAlignment="1" applyProtection="1">
      <alignment horizontal="left" vertical="center"/>
      <protection hidden="1"/>
    </xf>
    <xf numFmtId="0" fontId="27" fillId="0" borderId="73" xfId="2" applyFont="1" applyBorder="1" applyAlignment="1" applyProtection="1">
      <alignment vertical="center"/>
      <protection hidden="1"/>
    </xf>
    <xf numFmtId="0" fontId="15" fillId="0" borderId="78" xfId="0" applyFont="1" applyBorder="1" applyAlignment="1">
      <alignment horizontal="left"/>
    </xf>
    <xf numFmtId="0" fontId="110" fillId="0" borderId="79" xfId="0" applyFont="1" applyBorder="1" applyAlignment="1">
      <alignment horizontal="left" vertical="center"/>
    </xf>
    <xf numFmtId="0" fontId="26" fillId="0" borderId="0" xfId="0" applyFont="1" applyAlignment="1">
      <alignment horizontal="center"/>
    </xf>
    <xf numFmtId="0" fontId="112" fillId="0" borderId="0" xfId="0" applyFont="1"/>
    <xf numFmtId="0" fontId="15" fillId="0" borderId="80" xfId="0" applyFont="1" applyBorder="1" applyAlignment="1">
      <alignment horizontal="center"/>
    </xf>
    <xf numFmtId="0" fontId="113" fillId="0" borderId="81" xfId="4" applyFont="1" applyBorder="1" applyAlignment="1" applyProtection="1">
      <alignment horizontal="left"/>
    </xf>
    <xf numFmtId="0" fontId="15" fillId="0" borderId="82" xfId="0" applyFont="1" applyBorder="1" applyAlignment="1">
      <alignment horizontal="center"/>
    </xf>
    <xf numFmtId="0" fontId="119" fillId="45" borderId="83" xfId="0" applyFont="1" applyFill="1" applyBorder="1" applyAlignment="1" applyProtection="1">
      <alignment horizontal="left" vertical="center"/>
      <protection hidden="1"/>
    </xf>
    <xf numFmtId="0" fontId="15" fillId="0" borderId="84" xfId="0" applyFont="1" applyBorder="1" applyAlignment="1">
      <alignment horizontal="center"/>
    </xf>
    <xf numFmtId="0" fontId="123" fillId="45" borderId="85" xfId="0" applyFont="1" applyFill="1" applyBorder="1" applyAlignment="1" applyProtection="1">
      <alignment horizontal="left"/>
      <protection hidden="1"/>
    </xf>
    <xf numFmtId="0" fontId="22" fillId="45" borderId="85" xfId="0" applyFont="1" applyFill="1" applyBorder="1" applyAlignment="1" applyProtection="1">
      <alignment horizontal="left"/>
      <protection hidden="1"/>
    </xf>
    <xf numFmtId="0" fontId="124" fillId="45" borderId="86" xfId="0" applyFont="1" applyFill="1" applyBorder="1" applyAlignment="1" applyProtection="1">
      <alignment horizontal="left"/>
      <protection hidden="1"/>
    </xf>
    <xf numFmtId="0" fontId="121" fillId="46" borderId="87" xfId="0" applyFont="1" applyFill="1" applyBorder="1" applyAlignment="1" applyProtection="1">
      <alignment horizontal="left" vertical="center"/>
      <protection hidden="1"/>
    </xf>
    <xf numFmtId="0" fontId="123" fillId="46" borderId="85" xfId="0" applyFont="1" applyFill="1" applyBorder="1" applyAlignment="1" applyProtection="1">
      <alignment horizontal="left"/>
      <protection hidden="1"/>
    </xf>
    <xf numFmtId="0" fontId="22" fillId="46" borderId="85" xfId="0" applyFont="1" applyFill="1" applyBorder="1" applyAlignment="1" applyProtection="1">
      <alignment horizontal="left"/>
      <protection hidden="1"/>
    </xf>
    <xf numFmtId="0" fontId="128" fillId="47" borderId="87" xfId="0" applyFont="1" applyFill="1" applyBorder="1" applyAlignment="1" applyProtection="1">
      <alignment horizontal="left" vertical="center"/>
      <protection hidden="1"/>
    </xf>
    <xf numFmtId="0" fontId="123" fillId="47" borderId="85" xfId="0" applyFont="1" applyFill="1" applyBorder="1" applyAlignment="1" applyProtection="1">
      <alignment horizontal="left"/>
      <protection hidden="1"/>
    </xf>
    <xf numFmtId="0" fontId="22" fillId="47" borderId="85" xfId="0" applyFont="1" applyFill="1" applyBorder="1" applyAlignment="1" applyProtection="1">
      <alignment horizontal="left"/>
      <protection hidden="1"/>
    </xf>
    <xf numFmtId="0" fontId="123" fillId="48" borderId="88" xfId="0" applyFont="1" applyFill="1" applyBorder="1" applyAlignment="1" applyProtection="1">
      <alignment horizontal="left" vertical="center" wrapText="1"/>
      <protection hidden="1"/>
    </xf>
    <xf numFmtId="0" fontId="15" fillId="0" borderId="0" xfId="0" applyFont="1" applyAlignment="1">
      <alignment horizontal="center"/>
    </xf>
    <xf numFmtId="0" fontId="123" fillId="49" borderId="89" xfId="0" applyFont="1" applyFill="1" applyBorder="1" applyAlignment="1" applyProtection="1">
      <alignment horizontal="left" vertical="center" wrapText="1"/>
      <protection hidden="1"/>
    </xf>
    <xf numFmtId="0" fontId="15" fillId="0" borderId="90" xfId="0" applyFont="1" applyBorder="1" applyAlignment="1">
      <alignment horizontal="center"/>
    </xf>
    <xf numFmtId="0" fontId="123" fillId="50" borderId="91" xfId="0" applyFont="1" applyFill="1" applyBorder="1" applyAlignment="1" applyProtection="1">
      <alignment horizontal="left" vertical="center" wrapText="1"/>
      <protection hidden="1"/>
    </xf>
    <xf numFmtId="0" fontId="123" fillId="50" borderId="92" xfId="0" applyFont="1" applyFill="1" applyBorder="1" applyAlignment="1" applyProtection="1">
      <alignment horizontal="left" vertical="center" wrapText="1"/>
      <protection hidden="1"/>
    </xf>
    <xf numFmtId="0" fontId="22" fillId="45" borderId="93" xfId="0" applyFont="1" applyFill="1" applyBorder="1" applyAlignment="1" applyProtection="1">
      <alignment horizontal="left"/>
      <protection hidden="1"/>
    </xf>
    <xf numFmtId="0" fontId="22" fillId="45" borderId="94" xfId="0" applyFont="1" applyFill="1" applyBorder="1" applyAlignment="1" applyProtection="1">
      <alignment horizontal="left"/>
      <protection hidden="1"/>
    </xf>
    <xf numFmtId="0" fontId="135" fillId="50" borderId="95" xfId="0" applyFont="1" applyFill="1" applyBorder="1" applyAlignment="1" applyProtection="1">
      <alignment horizontal="left" vertical="center" wrapText="1"/>
      <protection hidden="1"/>
    </xf>
    <xf numFmtId="0" fontId="136" fillId="0" borderId="0" xfId="0" applyFont="1" applyAlignment="1">
      <alignment horizontal="center"/>
    </xf>
    <xf numFmtId="0" fontId="135" fillId="0" borderId="96" xfId="0" applyFont="1" applyBorder="1" applyAlignment="1" applyProtection="1">
      <alignment horizontal="left" vertical="center" wrapText="1"/>
      <protection hidden="1"/>
    </xf>
    <xf numFmtId="0" fontId="137" fillId="51" borderId="97" xfId="0" applyFont="1" applyFill="1" applyBorder="1" applyProtection="1">
      <protection hidden="1"/>
    </xf>
    <xf numFmtId="166" fontId="15" fillId="51" borderId="0" xfId="0" applyNumberFormat="1" applyFont="1" applyFill="1" applyAlignment="1" applyProtection="1">
      <alignment horizontal="center" vertical="top" wrapText="1"/>
      <protection hidden="1"/>
    </xf>
    <xf numFmtId="0" fontId="144" fillId="51" borderId="98" xfId="0" applyFont="1" applyFill="1" applyBorder="1" applyAlignment="1" applyProtection="1">
      <alignment horizontal="left" vertical="top" wrapText="1"/>
      <protection hidden="1"/>
    </xf>
    <xf numFmtId="0" fontId="0" fillId="0" borderId="79" xfId="0" applyBorder="1" applyAlignment="1">
      <alignment horizontal="center" vertical="top"/>
    </xf>
    <xf numFmtId="0" fontId="22" fillId="51" borderId="98" xfId="0" applyFont="1" applyFill="1" applyBorder="1" applyAlignment="1" applyProtection="1">
      <alignment vertical="center" wrapText="1"/>
      <protection hidden="1"/>
    </xf>
    <xf numFmtId="0" fontId="0" fillId="0" borderId="80" xfId="0" applyBorder="1" applyAlignment="1">
      <alignment horizontal="center" vertical="top"/>
    </xf>
    <xf numFmtId="0" fontId="147" fillId="51" borderId="97" xfId="0" applyFont="1" applyFill="1" applyBorder="1" applyProtection="1">
      <protection hidden="1"/>
    </xf>
    <xf numFmtId="0" fontId="0" fillId="0" borderId="46" xfId="0" applyBorder="1" applyAlignment="1">
      <alignment horizontal="center"/>
    </xf>
    <xf numFmtId="0" fontId="22" fillId="51" borderId="99" xfId="0" applyFont="1" applyFill="1" applyBorder="1" applyAlignment="1" applyProtection="1">
      <alignment wrapText="1"/>
      <protection hidden="1"/>
    </xf>
    <xf numFmtId="0" fontId="0" fillId="0" borderId="100" xfId="0" applyBorder="1" applyAlignment="1">
      <alignment horizontal="center"/>
    </xf>
    <xf numFmtId="0" fontId="22" fillId="51" borderId="97" xfId="0" applyFont="1" applyFill="1" applyBorder="1" applyProtection="1">
      <protection hidden="1"/>
    </xf>
    <xf numFmtId="0" fontId="0" fillId="0" borderId="101" xfId="0" applyBorder="1" applyAlignment="1">
      <alignment horizontal="center"/>
    </xf>
    <xf numFmtId="0" fontId="0" fillId="0" borderId="102" xfId="0" applyBorder="1" applyAlignment="1">
      <alignment horizontal="center"/>
    </xf>
    <xf numFmtId="0" fontId="22" fillId="51" borderId="99" xfId="0" applyFont="1" applyFill="1" applyBorder="1" applyProtection="1">
      <protection hidden="1"/>
    </xf>
    <xf numFmtId="0" fontId="149" fillId="51" borderId="0" xfId="0" applyFont="1" applyFill="1" applyProtection="1">
      <protection hidden="1"/>
    </xf>
    <xf numFmtId="166" fontId="22" fillId="51" borderId="103" xfId="0" applyNumberFormat="1" applyFont="1" applyFill="1" applyBorder="1" applyAlignment="1" applyProtection="1">
      <alignment vertical="top" wrapText="1"/>
      <protection hidden="1"/>
    </xf>
    <xf numFmtId="166" fontId="22" fillId="52" borderId="104" xfId="0" applyNumberFormat="1" applyFont="1" applyFill="1" applyBorder="1" applyAlignment="1" applyProtection="1">
      <alignment vertical="top" wrapText="1"/>
      <protection hidden="1"/>
    </xf>
    <xf numFmtId="0" fontId="138" fillId="53" borderId="105" xfId="0" applyFont="1" applyFill="1" applyBorder="1" applyAlignment="1" applyProtection="1">
      <alignment horizontal="left" vertical="center" wrapText="1"/>
      <protection hidden="1"/>
    </xf>
    <xf numFmtId="166" fontId="15" fillId="51" borderId="106" xfId="0" applyNumberFormat="1" applyFont="1" applyFill="1" applyBorder="1" applyAlignment="1" applyProtection="1">
      <alignment horizontal="center" vertical="top" wrapText="1"/>
      <protection hidden="1"/>
    </xf>
    <xf numFmtId="166" fontId="22" fillId="51" borderId="107" xfId="0" applyNumberFormat="1" applyFont="1" applyFill="1" applyBorder="1" applyAlignment="1" applyProtection="1">
      <alignment vertical="top" wrapText="1"/>
      <protection hidden="1"/>
    </xf>
    <xf numFmtId="166" fontId="15" fillId="51" borderId="108" xfId="0" applyNumberFormat="1" applyFont="1" applyFill="1" applyBorder="1" applyAlignment="1" applyProtection="1">
      <alignment horizontal="center" vertical="top" wrapText="1"/>
      <protection hidden="1"/>
    </xf>
    <xf numFmtId="166" fontId="34" fillId="51" borderId="109" xfId="0" applyNumberFormat="1" applyFont="1" applyFill="1" applyBorder="1" applyAlignment="1" applyProtection="1">
      <alignment vertical="center" wrapText="1"/>
      <protection hidden="1"/>
    </xf>
    <xf numFmtId="166" fontId="124" fillId="51" borderId="109" xfId="0" applyNumberFormat="1" applyFont="1" applyFill="1" applyBorder="1" applyAlignment="1" applyProtection="1">
      <alignment vertical="center" wrapText="1"/>
      <protection hidden="1"/>
    </xf>
    <xf numFmtId="166" fontId="34" fillId="51" borderId="109" xfId="0" applyNumberFormat="1" applyFont="1" applyFill="1" applyBorder="1" applyAlignment="1" applyProtection="1">
      <alignment vertical="top" wrapText="1"/>
      <protection hidden="1"/>
    </xf>
    <xf numFmtId="166" fontId="15" fillId="51" borderId="108" xfId="0" applyNumberFormat="1" applyFont="1" applyFill="1" applyBorder="1" applyAlignment="1" applyProtection="1">
      <alignment horizontal="center" vertical="center" wrapText="1"/>
      <protection hidden="1"/>
    </xf>
    <xf numFmtId="166" fontId="22" fillId="51" borderId="109" xfId="0" applyNumberFormat="1" applyFont="1" applyFill="1" applyBorder="1" applyAlignment="1" applyProtection="1">
      <alignment vertical="center" wrapText="1"/>
      <protection hidden="1"/>
    </xf>
    <xf numFmtId="166" fontId="151" fillId="51" borderId="109" xfId="0" applyNumberFormat="1" applyFont="1" applyFill="1" applyBorder="1" applyAlignment="1" applyProtection="1">
      <alignment vertical="top" wrapText="1"/>
      <protection hidden="1"/>
    </xf>
    <xf numFmtId="166" fontId="34" fillId="52" borderId="110" xfId="0" applyNumberFormat="1" applyFont="1" applyFill="1" applyBorder="1" applyAlignment="1" applyProtection="1">
      <alignment vertical="top" wrapText="1"/>
      <protection hidden="1"/>
    </xf>
    <xf numFmtId="166" fontId="15" fillId="51" borderId="111" xfId="0" applyNumberFormat="1" applyFont="1" applyFill="1" applyBorder="1" applyAlignment="1" applyProtection="1">
      <alignment horizontal="center" vertical="top" wrapText="1"/>
      <protection hidden="1"/>
    </xf>
    <xf numFmtId="166" fontId="34" fillId="52" borderId="46" xfId="0" applyNumberFormat="1" applyFont="1" applyFill="1" applyBorder="1" applyAlignment="1" applyProtection="1">
      <alignment vertical="top" wrapText="1"/>
      <protection hidden="1"/>
    </xf>
    <xf numFmtId="166" fontId="34" fillId="52" borderId="112" xfId="0" applyNumberFormat="1" applyFont="1" applyFill="1" applyBorder="1" applyAlignment="1" applyProtection="1">
      <alignment vertical="top" wrapText="1"/>
      <protection hidden="1"/>
    </xf>
    <xf numFmtId="166" fontId="22" fillId="51" borderId="109" xfId="0" applyNumberFormat="1" applyFont="1" applyFill="1" applyBorder="1" applyAlignment="1" applyProtection="1">
      <alignment vertical="top" wrapText="1"/>
      <protection hidden="1"/>
    </xf>
    <xf numFmtId="166" fontId="152" fillId="51" borderId="109" xfId="0" applyNumberFormat="1" applyFont="1" applyFill="1" applyBorder="1" applyAlignment="1" applyProtection="1">
      <alignment vertical="top" wrapText="1"/>
      <protection hidden="1"/>
    </xf>
    <xf numFmtId="166" fontId="155" fillId="51" borderId="109" xfId="0" applyNumberFormat="1" applyFont="1" applyFill="1" applyBorder="1" applyAlignment="1" applyProtection="1">
      <alignment vertical="top" wrapText="1"/>
      <protection hidden="1"/>
    </xf>
    <xf numFmtId="166" fontId="155" fillId="0" borderId="109" xfId="0" applyNumberFormat="1" applyFont="1" applyBorder="1" applyAlignment="1" applyProtection="1">
      <alignment vertical="top" wrapText="1"/>
      <protection hidden="1"/>
    </xf>
    <xf numFmtId="0" fontId="15" fillId="0" borderId="78" xfId="0" applyFont="1" applyBorder="1" applyAlignment="1">
      <alignment horizontal="center" vertical="center" wrapText="1"/>
    </xf>
    <xf numFmtId="166" fontId="159" fillId="0" borderId="109" xfId="0" applyNumberFormat="1" applyFont="1" applyBorder="1" applyAlignment="1" applyProtection="1">
      <alignment vertical="top" wrapText="1"/>
      <protection hidden="1"/>
    </xf>
    <xf numFmtId="0" fontId="0" fillId="0" borderId="46" xfId="0" applyBorder="1" applyAlignment="1">
      <alignment horizontal="center" wrapText="1"/>
    </xf>
    <xf numFmtId="166" fontId="22" fillId="51" borderId="113" xfId="0" applyNumberFormat="1" applyFont="1" applyFill="1" applyBorder="1" applyAlignment="1" applyProtection="1">
      <alignment vertical="top" wrapText="1"/>
      <protection hidden="1"/>
    </xf>
    <xf numFmtId="166" fontId="156" fillId="51" borderId="114" xfId="0" applyNumberFormat="1" applyFont="1" applyFill="1" applyBorder="1" applyAlignment="1" applyProtection="1">
      <alignment vertical="top" wrapText="1"/>
      <protection hidden="1"/>
    </xf>
    <xf numFmtId="0" fontId="160" fillId="51" borderId="78" xfId="0" applyFont="1" applyFill="1" applyBorder="1" applyAlignment="1">
      <alignment vertical="center"/>
    </xf>
    <xf numFmtId="0" fontId="0" fillId="0" borderId="46" xfId="0" applyBorder="1" applyAlignment="1">
      <alignment horizontal="center" vertical="top"/>
    </xf>
    <xf numFmtId="0" fontId="0" fillId="0" borderId="46" xfId="0" applyBorder="1" applyAlignment="1">
      <alignment vertical="top" wrapText="1"/>
    </xf>
    <xf numFmtId="0" fontId="162" fillId="0" borderId="79" xfId="0" applyFont="1" applyBorder="1" applyAlignment="1">
      <alignment horizontal="left" vertical="center"/>
    </xf>
    <xf numFmtId="0" fontId="0" fillId="0" borderId="0" xfId="0" applyAlignment="1">
      <alignment vertical="top" wrapText="1"/>
    </xf>
    <xf numFmtId="0" fontId="0" fillId="0" borderId="79" xfId="0" applyBorder="1" applyAlignment="1">
      <alignment horizontal="center" vertical="center"/>
    </xf>
    <xf numFmtId="0" fontId="0" fillId="0" borderId="79" xfId="0" applyBorder="1" applyAlignment="1">
      <alignment vertical="center" wrapText="1"/>
    </xf>
    <xf numFmtId="0" fontId="0" fillId="0" borderId="80" xfId="0" applyBorder="1" applyAlignment="1">
      <alignment vertical="top" wrapText="1"/>
    </xf>
    <xf numFmtId="0" fontId="0" fillId="0" borderId="79" xfId="0" applyBorder="1" applyAlignment="1">
      <alignment vertical="top" wrapText="1"/>
    </xf>
    <xf numFmtId="0" fontId="0" fillId="0" borderId="0" xfId="0" applyAlignment="1">
      <alignment horizontal="left" vertical="top" wrapText="1"/>
    </xf>
    <xf numFmtId="0" fontId="0" fillId="0" borderId="79" xfId="0" applyBorder="1" applyAlignment="1">
      <alignment horizontal="left" vertical="top" wrapText="1"/>
    </xf>
    <xf numFmtId="0" fontId="0" fillId="0" borderId="115" xfId="0" applyBorder="1" applyAlignment="1">
      <alignment horizontal="center" vertical="top"/>
    </xf>
    <xf numFmtId="0" fontId="0" fillId="0" borderId="116" xfId="0" applyBorder="1" applyAlignment="1">
      <alignment horizontal="center" vertical="top"/>
    </xf>
    <xf numFmtId="0" fontId="0" fillId="0" borderId="0" xfId="0" applyAlignment="1">
      <alignment horizontal="center" vertical="top"/>
    </xf>
    <xf numFmtId="0" fontId="0" fillId="0" borderId="117" xfId="0" applyBorder="1" applyAlignment="1">
      <alignment vertical="top" wrapText="1"/>
    </xf>
    <xf numFmtId="0" fontId="164" fillId="0" borderId="118" xfId="0" applyFont="1" applyBorder="1" applyAlignment="1">
      <alignment vertical="top" wrapText="1"/>
    </xf>
    <xf numFmtId="0" fontId="165" fillId="0" borderId="0" xfId="0" applyFont="1" applyAlignment="1">
      <alignment horizontal="justify" vertical="center"/>
    </xf>
    <xf numFmtId="0" fontId="166" fillId="0" borderId="0" xfId="0" applyFont="1"/>
    <xf numFmtId="0" fontId="167" fillId="0" borderId="0" xfId="0" applyFont="1" applyAlignment="1">
      <alignment vertical="top" wrapText="1"/>
    </xf>
    <xf numFmtId="0" fontId="168" fillId="0" borderId="0" xfId="0" applyFont="1" applyAlignment="1">
      <alignment vertical="center"/>
    </xf>
    <xf numFmtId="0" fontId="111" fillId="0" borderId="0" xfId="4" applyAlignment="1" applyProtection="1"/>
    <xf numFmtId="0" fontId="4" fillId="54" borderId="0" xfId="0" applyFont="1" applyFill="1"/>
    <xf numFmtId="0" fontId="4" fillId="0" borderId="0" xfId="0" applyFont="1"/>
    <xf numFmtId="0" fontId="4" fillId="0" borderId="0" xfId="0" applyFont="1" applyAlignment="1">
      <alignment horizontal="center"/>
    </xf>
    <xf numFmtId="0" fontId="137" fillId="54" borderId="0" xfId="0" applyFont="1" applyFill="1" applyAlignment="1">
      <alignment horizontal="center" vertical="center" wrapText="1"/>
    </xf>
    <xf numFmtId="0" fontId="0" fillId="38" borderId="0" xfId="0" applyFill="1"/>
    <xf numFmtId="2" fontId="61" fillId="21" borderId="4" xfId="0" applyNumberFormat="1" applyFont="1" applyFill="1" applyBorder="1" applyProtection="1">
      <protection hidden="1"/>
    </xf>
    <xf numFmtId="2" fontId="174" fillId="14" borderId="11" xfId="0" applyNumberFormat="1" applyFont="1" applyFill="1" applyBorder="1" applyAlignment="1" applyProtection="1">
      <alignment vertical="center"/>
      <protection hidden="1"/>
    </xf>
    <xf numFmtId="2" fontId="174" fillId="14" borderId="14" xfId="0" applyNumberFormat="1" applyFont="1" applyFill="1" applyBorder="1" applyAlignment="1">
      <alignment vertical="center"/>
    </xf>
    <xf numFmtId="0" fontId="61" fillId="34" borderId="4" xfId="0" applyFont="1" applyFill="1" applyBorder="1" applyAlignment="1">
      <alignment horizontal="center" vertical="center"/>
    </xf>
    <xf numFmtId="0" fontId="177" fillId="0" borderId="119" xfId="0" applyFont="1" applyBorder="1"/>
    <xf numFmtId="0" fontId="177" fillId="0" borderId="0" xfId="0" applyFont="1"/>
    <xf numFmtId="0" fontId="87" fillId="6" borderId="123" xfId="0" applyFont="1" applyFill="1" applyBorder="1" applyAlignment="1">
      <alignment horizontal="center" vertical="center" wrapText="1"/>
    </xf>
    <xf numFmtId="0" fontId="91" fillId="34" borderId="4" xfId="0" applyFont="1" applyFill="1" applyBorder="1" applyAlignment="1">
      <alignment horizontal="center" vertical="center"/>
    </xf>
    <xf numFmtId="0" fontId="61" fillId="67" borderId="4" xfId="0" applyFont="1" applyFill="1" applyBorder="1" applyAlignment="1" applyProtection="1">
      <alignment horizontal="center" vertical="center"/>
      <protection locked="0"/>
    </xf>
    <xf numFmtId="0" fontId="171" fillId="54" borderId="0" xfId="0" applyFont="1" applyFill="1" applyAlignment="1">
      <alignment vertical="center" wrapText="1"/>
    </xf>
    <xf numFmtId="17" fontId="8" fillId="0" borderId="4" xfId="0" applyNumberFormat="1" applyFont="1" applyBorder="1" applyAlignment="1">
      <alignment vertical="center"/>
    </xf>
    <xf numFmtId="17" fontId="8" fillId="0" borderId="5" xfId="0" applyNumberFormat="1"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11" fillId="0" borderId="73" xfId="2" applyFont="1" applyBorder="1" applyAlignment="1">
      <alignment horizontal="center" vertical="center"/>
    </xf>
    <xf numFmtId="0" fontId="13" fillId="0" borderId="73" xfId="2" applyFont="1" applyBorder="1" applyAlignment="1">
      <alignment horizontal="center" vertical="center"/>
    </xf>
    <xf numFmtId="2" fontId="61" fillId="21" borderId="133" xfId="0" applyNumberFormat="1" applyFont="1" applyFill="1" applyBorder="1" applyProtection="1">
      <protection hidden="1"/>
    </xf>
    <xf numFmtId="2" fontId="174" fillId="14" borderId="134" xfId="0" applyNumberFormat="1" applyFont="1" applyFill="1" applyBorder="1" applyAlignment="1" applyProtection="1">
      <alignment vertical="center"/>
      <protection hidden="1"/>
    </xf>
    <xf numFmtId="2" fontId="174" fillId="14" borderId="135" xfId="0" applyNumberFormat="1" applyFont="1" applyFill="1" applyBorder="1" applyAlignment="1">
      <alignment vertical="center"/>
    </xf>
    <xf numFmtId="0" fontId="61" fillId="21" borderId="32" xfId="0" applyFont="1" applyFill="1" applyBorder="1"/>
    <xf numFmtId="0" fontId="0" fillId="38" borderId="1" xfId="0" applyFill="1" applyBorder="1"/>
    <xf numFmtId="0" fontId="0" fillId="38" borderId="2" xfId="0" applyFill="1" applyBorder="1"/>
    <xf numFmtId="0" fontId="91" fillId="38" borderId="1" xfId="0" applyFont="1" applyFill="1" applyBorder="1"/>
    <xf numFmtId="0" fontId="91" fillId="38" borderId="2" xfId="0" applyFont="1" applyFill="1" applyBorder="1" applyAlignment="1">
      <alignment horizontal="center"/>
    </xf>
    <xf numFmtId="0" fontId="0" fillId="38" borderId="15" xfId="0" applyFill="1" applyBorder="1"/>
    <xf numFmtId="0" fontId="0" fillId="38" borderId="16" xfId="0" applyFill="1" applyBorder="1"/>
    <xf numFmtId="0" fontId="0" fillId="38" borderId="17" xfId="0" applyFill="1" applyBorder="1"/>
    <xf numFmtId="0" fontId="141" fillId="54" borderId="2" xfId="0" applyFont="1" applyFill="1" applyBorder="1" applyAlignment="1">
      <alignment horizontal="center" vertical="center" wrapText="1"/>
    </xf>
    <xf numFmtId="14" fontId="4" fillId="38" borderId="2" xfId="0" applyNumberFormat="1" applyFont="1" applyFill="1" applyBorder="1" applyAlignment="1" applyProtection="1">
      <alignment horizontal="center" vertical="center"/>
      <protection locked="0"/>
    </xf>
    <xf numFmtId="164" fontId="4" fillId="38" borderId="2" xfId="5" applyFont="1" applyFill="1" applyBorder="1" applyAlignment="1" applyProtection="1">
      <alignment horizontal="center" vertical="center"/>
      <protection locked="0"/>
    </xf>
    <xf numFmtId="0" fontId="141" fillId="54" borderId="2" xfId="0" applyFont="1" applyFill="1" applyBorder="1" applyAlignment="1">
      <alignment horizontal="center"/>
    </xf>
    <xf numFmtId="0" fontId="172" fillId="38" borderId="2" xfId="0" applyFont="1" applyFill="1" applyBorder="1" applyAlignment="1" applyProtection="1">
      <alignment horizontal="center" vertical="center" wrapText="1"/>
      <protection locked="0"/>
    </xf>
    <xf numFmtId="0" fontId="173" fillId="54" borderId="2" xfId="0" applyFont="1" applyFill="1" applyBorder="1" applyAlignment="1">
      <alignment horizontal="center"/>
    </xf>
    <xf numFmtId="0" fontId="4" fillId="38" borderId="2" xfId="0" applyFont="1" applyFill="1" applyBorder="1"/>
    <xf numFmtId="0" fontId="4" fillId="38" borderId="2" xfId="0" applyFont="1" applyFill="1" applyBorder="1" applyAlignment="1">
      <alignment horizontal="center"/>
    </xf>
    <xf numFmtId="0" fontId="4" fillId="54" borderId="17" xfId="0" applyFont="1" applyFill="1" applyBorder="1"/>
    <xf numFmtId="0" fontId="171" fillId="54" borderId="0" xfId="0" applyFont="1" applyFill="1" applyAlignment="1">
      <alignment horizontal="center" vertical="center" wrapText="1"/>
    </xf>
    <xf numFmtId="0" fontId="0" fillId="38" borderId="0" xfId="0" applyFill="1" applyAlignment="1">
      <alignment horizontal="center"/>
    </xf>
    <xf numFmtId="0" fontId="91" fillId="38" borderId="0" xfId="0" applyFont="1" applyFill="1" applyAlignment="1">
      <alignment horizontal="center"/>
    </xf>
    <xf numFmtId="0" fontId="60" fillId="0" borderId="0" xfId="0" applyFont="1"/>
    <xf numFmtId="0" fontId="4" fillId="54" borderId="1" xfId="0" applyFont="1" applyFill="1" applyBorder="1"/>
    <xf numFmtId="0" fontId="4" fillId="54" borderId="1" xfId="0" applyFont="1" applyFill="1" applyBorder="1" applyAlignment="1">
      <alignment vertical="center"/>
    </xf>
    <xf numFmtId="0" fontId="4" fillId="54" borderId="1" xfId="0" applyFont="1" applyFill="1" applyBorder="1" applyAlignment="1">
      <alignment horizontal="center"/>
    </xf>
    <xf numFmtId="164" fontId="4" fillId="0" borderId="0" xfId="5" applyFont="1" applyFill="1" applyBorder="1" applyProtection="1"/>
    <xf numFmtId="0" fontId="4" fillId="54" borderId="15" xfId="0" applyFont="1" applyFill="1" applyBorder="1"/>
    <xf numFmtId="0" fontId="4" fillId="54" borderId="16" xfId="0" applyFont="1" applyFill="1" applyBorder="1" applyAlignment="1">
      <alignment horizontal="center"/>
    </xf>
    <xf numFmtId="0" fontId="4" fillId="54" borderId="16" xfId="0" applyFont="1" applyFill="1" applyBorder="1"/>
    <xf numFmtId="0" fontId="188" fillId="0" borderId="0" xfId="0" applyFont="1"/>
    <xf numFmtId="0" fontId="46" fillId="5" borderId="0" xfId="0" applyFont="1" applyFill="1" applyAlignment="1" applyProtection="1">
      <alignment horizontal="center" vertical="center"/>
      <protection locked="0"/>
    </xf>
    <xf numFmtId="0" fontId="0" fillId="17" borderId="4" xfId="0" applyFill="1" applyBorder="1" applyProtection="1">
      <protection locked="0"/>
    </xf>
    <xf numFmtId="14" fontId="182" fillId="17" borderId="4" xfId="0" applyNumberFormat="1" applyFont="1" applyFill="1" applyBorder="1" applyProtection="1">
      <protection locked="0"/>
    </xf>
    <xf numFmtId="0" fontId="38" fillId="61" borderId="4" xfId="0" applyFont="1" applyFill="1" applyBorder="1" applyAlignment="1" applyProtection="1">
      <alignment horizontal="center" vertical="center" wrapText="1"/>
      <protection locked="0"/>
    </xf>
    <xf numFmtId="0" fontId="39" fillId="61" borderId="4" xfId="0" applyFont="1" applyFill="1" applyBorder="1" applyAlignment="1" applyProtection="1">
      <alignment horizontal="center" vertical="center"/>
      <protection locked="0"/>
    </xf>
    <xf numFmtId="0" fontId="39" fillId="28" borderId="4" xfId="0" applyFont="1" applyFill="1" applyBorder="1" applyAlignment="1" applyProtection="1">
      <alignment horizontal="center" vertical="center"/>
      <protection locked="0"/>
    </xf>
    <xf numFmtId="9" fontId="0" fillId="17" borderId="4" xfId="1" applyFont="1" applyFill="1" applyBorder="1" applyProtection="1">
      <protection locked="0"/>
    </xf>
    <xf numFmtId="0" fontId="43" fillId="29" borderId="4" xfId="0" applyFont="1" applyFill="1" applyBorder="1" applyAlignment="1" applyProtection="1">
      <alignment horizontal="center" vertical="center" wrapText="1"/>
      <protection locked="0"/>
    </xf>
    <xf numFmtId="0" fontId="39" fillId="61" borderId="4" xfId="0" applyFont="1" applyFill="1" applyBorder="1" applyAlignment="1" applyProtection="1">
      <alignment vertical="center"/>
      <protection locked="0"/>
    </xf>
    <xf numFmtId="0" fontId="26" fillId="43" borderId="4" xfId="0" applyFont="1" applyFill="1" applyBorder="1" applyProtection="1">
      <protection locked="0"/>
    </xf>
    <xf numFmtId="0" fontId="26" fillId="17" borderId="4" xfId="0" applyFont="1" applyFill="1" applyBorder="1" applyProtection="1">
      <protection locked="0"/>
    </xf>
    <xf numFmtId="165" fontId="8" fillId="9" borderId="9" xfId="0" applyNumberFormat="1" applyFont="1" applyFill="1" applyBorder="1" applyAlignment="1" applyProtection="1">
      <alignment vertical="center"/>
      <protection locked="0"/>
    </xf>
    <xf numFmtId="0" fontId="0" fillId="14" borderId="0" xfId="0" applyFill="1" applyProtection="1">
      <protection locked="0"/>
    </xf>
    <xf numFmtId="0" fontId="38" fillId="26" borderId="4" xfId="0" applyFont="1" applyFill="1" applyBorder="1" applyAlignment="1" applyProtection="1">
      <alignment horizontal="center" vertical="center" wrapText="1"/>
      <protection locked="0"/>
    </xf>
    <xf numFmtId="0" fontId="43" fillId="24" borderId="4" xfId="0" applyFont="1" applyFill="1" applyBorder="1" applyAlignment="1" applyProtection="1">
      <alignment horizontal="center" vertical="center"/>
      <protection locked="0"/>
    </xf>
    <xf numFmtId="0" fontId="42" fillId="27" borderId="4" xfId="0" applyFont="1" applyFill="1" applyBorder="1" applyAlignment="1" applyProtection="1">
      <alignment horizontal="center"/>
      <protection locked="0"/>
    </xf>
    <xf numFmtId="0" fontId="43" fillId="30" borderId="4" xfId="0" applyFont="1" applyFill="1" applyBorder="1" applyAlignment="1" applyProtection="1">
      <alignment horizontal="center" vertical="center"/>
      <protection locked="0"/>
    </xf>
    <xf numFmtId="0" fontId="42" fillId="31" borderId="4" xfId="0" applyFont="1" applyFill="1" applyBorder="1" applyProtection="1">
      <protection locked="0"/>
    </xf>
    <xf numFmtId="0" fontId="15" fillId="17" borderId="4" xfId="0" applyFont="1" applyFill="1" applyBorder="1" applyProtection="1">
      <protection locked="0"/>
    </xf>
    <xf numFmtId="0" fontId="43" fillId="25" borderId="4" xfId="0" applyFont="1" applyFill="1" applyBorder="1" applyAlignment="1" applyProtection="1">
      <alignment horizontal="center" vertical="center"/>
      <protection locked="0"/>
    </xf>
    <xf numFmtId="0" fontId="41" fillId="26" borderId="4" xfId="0" applyFont="1" applyFill="1" applyBorder="1" applyAlignment="1" applyProtection="1">
      <alignment horizontal="center" vertical="center" wrapText="1"/>
      <protection locked="0"/>
    </xf>
    <xf numFmtId="0" fontId="0" fillId="0" borderId="4" xfId="0" applyBorder="1" applyProtection="1">
      <protection locked="0"/>
    </xf>
    <xf numFmtId="49" fontId="44" fillId="26" borderId="4" xfId="0" applyNumberFormat="1" applyFont="1" applyFill="1" applyBorder="1" applyAlignment="1" applyProtection="1">
      <alignment horizontal="center" vertical="center"/>
      <protection locked="0"/>
    </xf>
    <xf numFmtId="0" fontId="36" fillId="24" borderId="4" xfId="0" applyFont="1" applyFill="1" applyBorder="1" applyProtection="1">
      <protection locked="0"/>
    </xf>
    <xf numFmtId="17" fontId="8" fillId="8" borderId="4" xfId="0" applyNumberFormat="1" applyFont="1" applyFill="1" applyBorder="1" applyAlignment="1" applyProtection="1">
      <alignment vertical="center"/>
      <protection locked="0"/>
    </xf>
    <xf numFmtId="17" fontId="8" fillId="8" borderId="25" xfId="0" applyNumberFormat="1" applyFont="1" applyFill="1" applyBorder="1" applyAlignment="1" applyProtection="1">
      <alignment vertical="center"/>
      <protection locked="0"/>
    </xf>
    <xf numFmtId="0" fontId="51" fillId="8" borderId="4" xfId="0" applyFont="1" applyFill="1" applyBorder="1" applyAlignment="1" applyProtection="1">
      <alignment horizontal="center"/>
      <protection locked="0"/>
    </xf>
    <xf numFmtId="0" fontId="0" fillId="8" borderId="4" xfId="0" applyFill="1" applyBorder="1" applyProtection="1">
      <protection locked="0"/>
    </xf>
    <xf numFmtId="0" fontId="8" fillId="18" borderId="4" xfId="0" applyFont="1" applyFill="1" applyBorder="1" applyAlignment="1" applyProtection="1">
      <alignment vertical="center"/>
      <protection locked="0"/>
    </xf>
    <xf numFmtId="0" fontId="51" fillId="58" borderId="4" xfId="0" applyFont="1" applyFill="1" applyBorder="1" applyAlignment="1" applyProtection="1">
      <alignment horizontal="center"/>
      <protection locked="0"/>
    </xf>
    <xf numFmtId="9" fontId="26" fillId="17" borderId="4" xfId="0" applyNumberFormat="1" applyFont="1" applyFill="1" applyBorder="1" applyAlignment="1" applyProtection="1">
      <alignment horizontal="center"/>
      <protection locked="0"/>
    </xf>
    <xf numFmtId="0" fontId="4" fillId="0" borderId="4" xfId="0" applyFont="1" applyBorder="1" applyProtection="1">
      <protection locked="0"/>
    </xf>
    <xf numFmtId="0" fontId="42" fillId="27" borderId="4" xfId="0" applyFont="1" applyFill="1" applyBorder="1" applyAlignment="1" applyProtection="1">
      <alignment wrapText="1"/>
      <protection locked="0"/>
    </xf>
    <xf numFmtId="0" fontId="26" fillId="32" borderId="4" xfId="0" applyFont="1" applyFill="1" applyBorder="1" applyProtection="1">
      <protection locked="0"/>
    </xf>
    <xf numFmtId="0" fontId="0" fillId="21" borderId="4" xfId="0" applyFill="1" applyBorder="1" applyProtection="1">
      <protection locked="0"/>
    </xf>
    <xf numFmtId="0" fontId="43" fillId="31" borderId="4" xfId="0" applyFont="1" applyFill="1" applyBorder="1" applyAlignment="1" applyProtection="1">
      <alignment horizontal="center" vertical="center"/>
      <protection locked="0"/>
    </xf>
    <xf numFmtId="0" fontId="8" fillId="15" borderId="4" xfId="0" applyFont="1" applyFill="1" applyBorder="1" applyAlignment="1" applyProtection="1">
      <alignment vertical="center"/>
      <protection locked="0"/>
    </xf>
    <xf numFmtId="0" fontId="8" fillId="15" borderId="5" xfId="0" applyFont="1" applyFill="1" applyBorder="1" applyAlignment="1" applyProtection="1">
      <alignment vertical="center"/>
      <protection locked="0"/>
    </xf>
    <xf numFmtId="0" fontId="50" fillId="9" borderId="4" xfId="0" applyFont="1" applyFill="1" applyBorder="1" applyProtection="1">
      <protection locked="0"/>
    </xf>
    <xf numFmtId="9" fontId="43" fillId="17" borderId="4" xfId="0" applyNumberFormat="1" applyFont="1" applyFill="1" applyBorder="1" applyAlignment="1" applyProtection="1">
      <alignment horizontal="center"/>
      <protection locked="0"/>
    </xf>
    <xf numFmtId="0" fontId="43" fillId="17" borderId="4" xfId="0" applyFont="1" applyFill="1" applyBorder="1" applyProtection="1">
      <protection locked="0"/>
    </xf>
    <xf numFmtId="0" fontId="43" fillId="17" borderId="4" xfId="0" applyFont="1" applyFill="1" applyBorder="1" applyAlignment="1" applyProtection="1">
      <alignment vertical="center"/>
      <protection locked="0"/>
    </xf>
    <xf numFmtId="0" fontId="38" fillId="24" borderId="4" xfId="0" applyFont="1" applyFill="1" applyBorder="1" applyAlignment="1" applyProtection="1">
      <alignment horizontal="center" vertical="center" wrapText="1"/>
      <protection locked="0"/>
    </xf>
    <xf numFmtId="0" fontId="43" fillId="14" borderId="4" xfId="0" applyFont="1" applyFill="1" applyBorder="1" applyAlignment="1" applyProtection="1">
      <alignment horizontal="center" vertical="center"/>
      <protection locked="0"/>
    </xf>
    <xf numFmtId="0" fontId="42" fillId="62" borderId="4" xfId="0" applyFont="1" applyFill="1" applyBorder="1" applyAlignment="1" applyProtection="1">
      <alignment horizontal="center" vertical="center"/>
      <protection locked="0"/>
    </xf>
    <xf numFmtId="0" fontId="43" fillId="62" borderId="4" xfId="0" applyFont="1" applyFill="1" applyBorder="1" applyAlignment="1" applyProtection="1">
      <alignment horizontal="center" vertical="center"/>
      <protection locked="0"/>
    </xf>
    <xf numFmtId="0" fontId="43" fillId="16" borderId="4" xfId="0" applyFont="1" applyFill="1" applyBorder="1" applyAlignment="1" applyProtection="1">
      <alignment horizontal="center" vertical="center"/>
      <protection locked="0"/>
    </xf>
    <xf numFmtId="0" fontId="0" fillId="14" borderId="4" xfId="0" applyFill="1" applyBorder="1" applyProtection="1">
      <protection locked="0"/>
    </xf>
    <xf numFmtId="0" fontId="4" fillId="0" borderId="0" xfId="0" applyFont="1" applyProtection="1">
      <protection locked="0"/>
    </xf>
    <xf numFmtId="0" fontId="36" fillId="0" borderId="4" xfId="0" applyFont="1" applyBorder="1" applyProtection="1">
      <protection locked="0"/>
    </xf>
    <xf numFmtId="0" fontId="43" fillId="24" borderId="4" xfId="0" applyFont="1" applyFill="1" applyBorder="1" applyProtection="1">
      <protection locked="0"/>
    </xf>
    <xf numFmtId="1" fontId="42" fillId="24" borderId="4" xfId="0" applyNumberFormat="1" applyFont="1" applyFill="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8" fillId="18" borderId="38" xfId="0" applyFont="1" applyFill="1" applyBorder="1" applyAlignment="1" applyProtection="1">
      <alignment vertical="center"/>
      <protection locked="0"/>
    </xf>
    <xf numFmtId="0" fontId="8" fillId="15" borderId="25" xfId="0" applyFont="1" applyFill="1" applyBorder="1" applyAlignment="1" applyProtection="1">
      <alignment vertical="center"/>
      <protection locked="0"/>
    </xf>
    <xf numFmtId="0" fontId="4" fillId="14" borderId="4" xfId="0" applyFont="1" applyFill="1" applyBorder="1" applyAlignment="1" applyProtection="1">
      <alignment wrapText="1"/>
      <protection locked="0"/>
    </xf>
    <xf numFmtId="0" fontId="2" fillId="14" borderId="4" xfId="0" applyFont="1" applyFill="1" applyBorder="1" applyProtection="1">
      <protection locked="0"/>
    </xf>
    <xf numFmtId="0" fontId="4" fillId="63" borderId="0" xfId="0" applyFont="1" applyFill="1" applyProtection="1">
      <protection locked="0"/>
    </xf>
    <xf numFmtId="0" fontId="4" fillId="14" borderId="11" xfId="0" applyFont="1" applyFill="1" applyBorder="1" applyProtection="1">
      <protection locked="0"/>
    </xf>
    <xf numFmtId="0" fontId="4" fillId="0" borderId="0" xfId="0" applyFont="1" applyAlignment="1" applyProtection="1">
      <alignment horizontal="center"/>
      <protection locked="0"/>
    </xf>
    <xf numFmtId="17" fontId="8" fillId="14" borderId="4" xfId="0" applyNumberFormat="1" applyFont="1" applyFill="1" applyBorder="1" applyAlignment="1" applyProtection="1">
      <alignment vertical="center"/>
      <protection locked="0"/>
    </xf>
    <xf numFmtId="17" fontId="8" fillId="14" borderId="5" xfId="0" applyNumberFormat="1" applyFont="1" applyFill="1" applyBorder="1" applyAlignment="1" applyProtection="1">
      <alignment vertical="center"/>
      <protection locked="0"/>
    </xf>
    <xf numFmtId="0" fontId="0" fillId="74" borderId="0" xfId="0" applyFill="1" applyProtection="1">
      <protection locked="0"/>
    </xf>
    <xf numFmtId="17" fontId="4" fillId="63" borderId="0" xfId="0" applyNumberFormat="1" applyFont="1" applyFill="1" applyProtection="1">
      <protection locked="0"/>
    </xf>
    <xf numFmtId="0" fontId="2" fillId="57" borderId="25" xfId="0" applyFont="1" applyFill="1" applyBorder="1" applyAlignment="1" applyProtection="1">
      <alignment wrapText="1"/>
      <protection locked="0"/>
    </xf>
    <xf numFmtId="17" fontId="2" fillId="57" borderId="32" xfId="0" applyNumberFormat="1" applyFont="1" applyFill="1" applyBorder="1" applyAlignment="1" applyProtection="1">
      <alignment wrapText="1"/>
      <protection locked="0"/>
    </xf>
    <xf numFmtId="0" fontId="4" fillId="57" borderId="4" xfId="0" applyFont="1" applyFill="1" applyBorder="1" applyProtection="1">
      <protection locked="0"/>
    </xf>
    <xf numFmtId="0" fontId="8" fillId="14" borderId="4" xfId="0" applyFont="1" applyFill="1" applyBorder="1" applyAlignment="1" applyProtection="1">
      <alignment vertical="center"/>
      <protection locked="0"/>
    </xf>
    <xf numFmtId="0" fontId="8" fillId="14" borderId="5" xfId="0" applyFont="1" applyFill="1" applyBorder="1" applyAlignment="1" applyProtection="1">
      <alignment vertical="center"/>
      <protection locked="0"/>
    </xf>
    <xf numFmtId="17" fontId="4" fillId="0" borderId="0" xfId="0" applyNumberFormat="1" applyFont="1" applyProtection="1">
      <protection locked="0"/>
    </xf>
    <xf numFmtId="0" fontId="8" fillId="15" borderId="11" xfId="0" applyFont="1" applyFill="1" applyBorder="1" applyAlignment="1" applyProtection="1">
      <alignment vertical="center"/>
      <protection locked="0"/>
    </xf>
    <xf numFmtId="0" fontId="8" fillId="15" borderId="27" xfId="0" applyFont="1" applyFill="1" applyBorder="1" applyAlignment="1" applyProtection="1">
      <alignment vertical="center"/>
      <protection locked="0"/>
    </xf>
    <xf numFmtId="0" fontId="8" fillId="14" borderId="11" xfId="0" applyFont="1" applyFill="1" applyBorder="1" applyAlignment="1" applyProtection="1">
      <alignment vertical="center"/>
      <protection locked="0"/>
    </xf>
    <xf numFmtId="0" fontId="8" fillId="14" borderId="12" xfId="0" applyFont="1" applyFill="1" applyBorder="1" applyAlignment="1" applyProtection="1">
      <alignment vertical="center"/>
      <protection locked="0"/>
    </xf>
    <xf numFmtId="0" fontId="4" fillId="74" borderId="4" xfId="0" applyFont="1" applyFill="1" applyBorder="1" applyAlignment="1" applyProtection="1">
      <alignment horizontal="center" vertical="center"/>
      <protection locked="0"/>
    </xf>
    <xf numFmtId="0" fontId="4" fillId="32" borderId="4" xfId="0" applyFont="1" applyFill="1" applyBorder="1" applyProtection="1">
      <protection locked="0"/>
    </xf>
    <xf numFmtId="49" fontId="4" fillId="57" borderId="11" xfId="0" applyNumberFormat="1" applyFont="1" applyFill="1" applyBorder="1" applyProtection="1">
      <protection locked="0"/>
    </xf>
    <xf numFmtId="0" fontId="4" fillId="32" borderId="4" xfId="0" applyFont="1" applyFill="1" applyBorder="1" applyAlignment="1" applyProtection="1">
      <alignment horizontal="center" vertical="center"/>
      <protection locked="0"/>
    </xf>
    <xf numFmtId="0" fontId="36" fillId="10" borderId="4" xfId="0" applyFont="1" applyFill="1" applyBorder="1" applyProtection="1">
      <protection locked="0"/>
    </xf>
    <xf numFmtId="0" fontId="36" fillId="16" borderId="4" xfId="0" applyFont="1" applyFill="1" applyBorder="1" applyAlignment="1" applyProtection="1">
      <alignment horizontal="center"/>
      <protection locked="0"/>
    </xf>
    <xf numFmtId="0" fontId="43" fillId="12" borderId="4" xfId="0" applyFont="1" applyFill="1" applyBorder="1" applyAlignment="1" applyProtection="1">
      <alignment horizontal="center" vertical="center"/>
      <protection locked="0"/>
    </xf>
    <xf numFmtId="0" fontId="0" fillId="32" borderId="4" xfId="0" applyFill="1" applyBorder="1" applyProtection="1">
      <protection locked="0"/>
    </xf>
    <xf numFmtId="0" fontId="4" fillId="63" borderId="4" xfId="0" applyFont="1" applyFill="1" applyBorder="1" applyProtection="1">
      <protection locked="0"/>
    </xf>
    <xf numFmtId="0" fontId="0" fillId="14" borderId="4" xfId="0" applyFill="1" applyBorder="1" applyAlignment="1" applyProtection="1">
      <alignment horizontal="center" vertical="center"/>
      <protection locked="0"/>
    </xf>
    <xf numFmtId="17" fontId="0" fillId="63" borderId="4" xfId="0" applyNumberFormat="1" applyFill="1" applyBorder="1" applyAlignment="1" applyProtection="1">
      <alignment horizontal="center"/>
      <protection locked="0"/>
    </xf>
    <xf numFmtId="0" fontId="4" fillId="63" borderId="4" xfId="0" applyFont="1" applyFill="1" applyBorder="1" applyAlignment="1" applyProtection="1">
      <alignment horizontal="center"/>
      <protection locked="0"/>
    </xf>
    <xf numFmtId="0" fontId="43" fillId="0" borderId="4" xfId="0" applyFont="1" applyBorder="1" applyAlignment="1" applyProtection="1">
      <alignment horizontal="center"/>
      <protection locked="0"/>
    </xf>
    <xf numFmtId="0" fontId="44" fillId="0" borderId="4" xfId="0" applyFont="1" applyBorder="1" applyAlignment="1" applyProtection="1">
      <alignment horizontal="center" vertical="center"/>
      <protection locked="0"/>
    </xf>
    <xf numFmtId="0" fontId="75" fillId="33" borderId="4" xfId="0" applyFont="1" applyFill="1" applyBorder="1" applyAlignment="1" applyProtection="1">
      <alignment horizontal="center" wrapText="1"/>
      <protection locked="0"/>
    </xf>
    <xf numFmtId="0" fontId="75" fillId="66" borderId="4" xfId="0" applyFont="1" applyFill="1" applyBorder="1" applyAlignment="1" applyProtection="1">
      <alignment horizontal="center" wrapText="1"/>
      <protection locked="0"/>
    </xf>
    <xf numFmtId="0" fontId="0" fillId="35" borderId="4" xfId="0" applyFill="1" applyBorder="1" applyProtection="1">
      <protection locked="0"/>
    </xf>
    <xf numFmtId="0" fontId="36" fillId="35" borderId="4" xfId="0" applyFont="1" applyFill="1" applyBorder="1" applyAlignment="1" applyProtection="1">
      <alignment horizontal="center" vertical="center"/>
      <protection locked="0"/>
    </xf>
    <xf numFmtId="0" fontId="26" fillId="35" borderId="4" xfId="0" applyFont="1" applyFill="1" applyBorder="1" applyProtection="1">
      <protection locked="0"/>
    </xf>
    <xf numFmtId="17" fontId="36" fillId="10" borderId="4" xfId="0" applyNumberFormat="1" applyFont="1" applyFill="1" applyBorder="1" applyProtection="1">
      <protection locked="0"/>
    </xf>
    <xf numFmtId="0" fontId="176" fillId="9" borderId="4" xfId="0" applyFont="1" applyFill="1" applyBorder="1" applyAlignment="1" applyProtection="1">
      <alignment horizontal="center" vertical="center"/>
      <protection locked="0"/>
    </xf>
    <xf numFmtId="0" fontId="36" fillId="16" borderId="4" xfId="0" applyFont="1" applyFill="1" applyBorder="1" applyProtection="1">
      <protection locked="0"/>
    </xf>
    <xf numFmtId="2" fontId="0" fillId="0" borderId="0" xfId="0" applyNumberFormat="1" applyProtection="1">
      <protection locked="0"/>
    </xf>
    <xf numFmtId="0" fontId="59" fillId="0" borderId="44" xfId="2" applyFont="1" applyBorder="1" applyAlignment="1" applyProtection="1">
      <alignment vertical="center"/>
      <protection locked="0"/>
    </xf>
    <xf numFmtId="0" fontId="30" fillId="14" borderId="29" xfId="2" applyFont="1" applyFill="1" applyBorder="1" applyAlignment="1" applyProtection="1">
      <alignment horizontal="left" vertical="center"/>
      <protection locked="0"/>
    </xf>
    <xf numFmtId="2" fontId="0" fillId="14" borderId="9" xfId="0" applyNumberFormat="1" applyFill="1" applyBorder="1" applyAlignment="1" applyProtection="1">
      <alignment vertical="center"/>
      <protection locked="0"/>
    </xf>
    <xf numFmtId="2" fontId="0" fillId="14" borderId="0" xfId="0" applyNumberFormat="1" applyFill="1" applyAlignment="1" applyProtection="1">
      <alignment vertical="center"/>
      <protection locked="0"/>
    </xf>
    <xf numFmtId="0" fontId="11" fillId="0" borderId="21" xfId="2" applyFont="1" applyBorder="1" applyAlignment="1" applyProtection="1">
      <alignment horizontal="center" vertical="center"/>
      <protection locked="0"/>
    </xf>
    <xf numFmtId="49" fontId="12" fillId="0" borderId="23" xfId="3" applyNumberFormat="1" applyFont="1" applyBorder="1" applyAlignment="1" applyProtection="1">
      <alignment vertical="center"/>
      <protection locked="0"/>
    </xf>
    <xf numFmtId="0" fontId="11" fillId="0" borderId="23" xfId="2" applyFont="1" applyBorder="1" applyAlignment="1" applyProtection="1">
      <alignment horizontal="center" vertical="center"/>
      <protection locked="0"/>
    </xf>
    <xf numFmtId="2" fontId="12" fillId="0" borderId="23" xfId="2" applyNumberFormat="1" applyFont="1" applyBorder="1" applyAlignment="1" applyProtection="1">
      <alignment vertical="center"/>
      <protection locked="0"/>
    </xf>
    <xf numFmtId="0" fontId="13" fillId="0" borderId="23" xfId="2" applyFont="1" applyBorder="1" applyAlignment="1" applyProtection="1">
      <alignment horizontal="right" vertical="center"/>
      <protection locked="0"/>
    </xf>
    <xf numFmtId="2" fontId="0" fillId="0" borderId="4" xfId="0" applyNumberFormat="1" applyBorder="1" applyProtection="1">
      <protection locked="0"/>
    </xf>
    <xf numFmtId="0" fontId="11" fillId="0" borderId="3" xfId="2" applyFont="1" applyBorder="1" applyAlignment="1" applyProtection="1">
      <alignment horizontal="center" vertical="center"/>
      <protection locked="0"/>
    </xf>
    <xf numFmtId="0" fontId="11" fillId="0" borderId="4" xfId="2" applyFont="1" applyBorder="1" applyAlignment="1" applyProtection="1">
      <alignment horizontal="right" vertical="center"/>
      <protection locked="0"/>
    </xf>
    <xf numFmtId="2" fontId="14" fillId="0" borderId="25" xfId="2" applyNumberFormat="1" applyFont="1" applyBorder="1" applyAlignment="1" applyProtection="1">
      <alignment horizontal="right" vertical="center"/>
      <protection locked="0"/>
    </xf>
    <xf numFmtId="2" fontId="14" fillId="0" borderId="73" xfId="2" applyNumberFormat="1" applyFont="1" applyBorder="1" applyAlignment="1" applyProtection="1">
      <alignment horizontal="right" vertical="center"/>
      <protection locked="0" hidden="1"/>
    </xf>
    <xf numFmtId="2" fontId="0" fillId="14" borderId="0" xfId="0" applyNumberFormat="1" applyFill="1" applyProtection="1">
      <protection locked="0"/>
    </xf>
    <xf numFmtId="2" fontId="16" fillId="0" borderId="25" xfId="2" applyNumberFormat="1" applyFont="1" applyBorder="1" applyAlignment="1" applyProtection="1">
      <alignment horizontal="right" vertical="center"/>
      <protection locked="0"/>
    </xf>
    <xf numFmtId="0" fontId="11" fillId="0" borderId="26" xfId="2" applyFont="1" applyBorder="1" applyAlignment="1" applyProtection="1">
      <alignment horizontal="left" vertical="center"/>
      <protection locked="0"/>
    </xf>
    <xf numFmtId="0" fontId="11" fillId="0" borderId="4" xfId="2" applyFont="1" applyBorder="1" applyAlignment="1" applyProtection="1">
      <alignment horizontal="center" vertical="center"/>
      <protection locked="0"/>
    </xf>
    <xf numFmtId="2" fontId="16" fillId="0" borderId="4" xfId="2" applyNumberFormat="1" applyFont="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2" fontId="24" fillId="0" borderId="4" xfId="2" applyNumberFormat="1" applyFont="1" applyBorder="1" applyAlignment="1" applyProtection="1">
      <alignment horizontal="center" vertical="center"/>
      <protection locked="0"/>
    </xf>
    <xf numFmtId="2" fontId="24" fillId="0" borderId="4" xfId="2" applyNumberFormat="1" applyFont="1" applyBorder="1" applyAlignment="1" applyProtection="1">
      <alignment horizontal="center" vertical="center"/>
      <protection locked="0" hidden="1"/>
    </xf>
    <xf numFmtId="2" fontId="24" fillId="4" borderId="4" xfId="2" applyNumberFormat="1" applyFont="1" applyFill="1" applyBorder="1" applyAlignment="1" applyProtection="1">
      <alignment horizontal="center" vertical="center"/>
      <protection locked="0"/>
    </xf>
    <xf numFmtId="2" fontId="28" fillId="0" borderId="4" xfId="2" applyNumberFormat="1" applyFont="1" applyBorder="1" applyAlignment="1" applyProtection="1">
      <alignment horizontal="center" vertical="center"/>
      <protection locked="0"/>
    </xf>
    <xf numFmtId="2" fontId="16" fillId="0" borderId="25" xfId="2" applyNumberFormat="1" applyFont="1" applyBorder="1" applyAlignment="1" applyProtection="1">
      <alignment horizontal="right" vertical="center"/>
      <protection locked="0" hidden="1"/>
    </xf>
    <xf numFmtId="2" fontId="0" fillId="14" borderId="4" xfId="0" applyNumberFormat="1" applyFill="1" applyBorder="1" applyProtection="1">
      <protection locked="0"/>
    </xf>
    <xf numFmtId="2" fontId="14" fillId="14" borderId="4" xfId="2" applyNumberFormat="1" applyFont="1" applyFill="1" applyBorder="1" applyAlignment="1" applyProtection="1">
      <alignment horizontal="right" vertical="center"/>
      <protection locked="0"/>
    </xf>
    <xf numFmtId="2" fontId="14" fillId="14" borderId="0" xfId="2" applyNumberFormat="1" applyFont="1" applyFill="1" applyAlignment="1" applyProtection="1">
      <alignment horizontal="right" vertical="center"/>
      <protection locked="0"/>
    </xf>
    <xf numFmtId="0" fontId="11" fillId="0" borderId="4" xfId="2" applyFont="1" applyBorder="1" applyAlignment="1" applyProtection="1">
      <alignment vertical="top"/>
      <protection locked="0"/>
    </xf>
    <xf numFmtId="0" fontId="11" fillId="0" borderId="32" xfId="2" applyFont="1" applyBorder="1" applyAlignment="1" applyProtection="1">
      <alignment horizontal="left" vertical="center"/>
      <protection locked="0"/>
    </xf>
    <xf numFmtId="0" fontId="11" fillId="0" borderId="10" xfId="2" applyFont="1" applyBorder="1" applyAlignment="1" applyProtection="1">
      <alignment vertical="top"/>
      <protection locked="0"/>
    </xf>
    <xf numFmtId="2" fontId="31" fillId="0" borderId="25" xfId="2" applyNumberFormat="1" applyFont="1" applyBorder="1" applyAlignment="1" applyProtection="1">
      <alignment horizontal="right" vertical="center"/>
      <protection locked="0"/>
    </xf>
    <xf numFmtId="2" fontId="31" fillId="0" borderId="4" xfId="2" applyNumberFormat="1" applyFont="1" applyBorder="1" applyAlignment="1" applyProtection="1">
      <alignment horizontal="right" vertical="center"/>
      <protection locked="0"/>
    </xf>
    <xf numFmtId="2" fontId="31" fillId="0" borderId="0" xfId="2" applyNumberFormat="1" applyFont="1" applyAlignment="1" applyProtection="1">
      <alignment horizontal="right" vertical="center"/>
      <protection locked="0"/>
    </xf>
    <xf numFmtId="2" fontId="16" fillId="0" borderId="5" xfId="2" applyNumberFormat="1" applyFont="1" applyBorder="1" applyAlignment="1" applyProtection="1">
      <alignment horizontal="right" vertical="center"/>
      <protection locked="0"/>
    </xf>
    <xf numFmtId="2" fontId="16" fillId="0" borderId="0" xfId="2" applyNumberFormat="1" applyFont="1" applyAlignment="1" applyProtection="1">
      <alignment horizontal="right" vertical="center"/>
      <protection locked="0"/>
    </xf>
    <xf numFmtId="2" fontId="14" fillId="0" borderId="5" xfId="2" applyNumberFormat="1" applyFont="1" applyBorder="1" applyAlignment="1" applyProtection="1">
      <alignment horizontal="right" vertical="center"/>
      <protection locked="0"/>
    </xf>
    <xf numFmtId="2" fontId="14" fillId="0" borderId="0" xfId="2" applyNumberFormat="1" applyFont="1" applyAlignment="1" applyProtection="1">
      <alignment horizontal="right" vertical="center"/>
      <protection locked="0"/>
    </xf>
    <xf numFmtId="0" fontId="56" fillId="0" borderId="26" xfId="2" applyFont="1" applyBorder="1" applyAlignment="1" applyProtection="1">
      <alignment horizontal="center" vertical="center"/>
      <protection locked="0"/>
    </xf>
    <xf numFmtId="0" fontId="30" fillId="14" borderId="5" xfId="2" applyFont="1" applyFill="1" applyBorder="1" applyAlignment="1" applyProtection="1">
      <alignment horizontal="left" vertical="center"/>
      <protection locked="0"/>
    </xf>
    <xf numFmtId="0" fontId="56" fillId="0" borderId="32" xfId="2" applyFont="1" applyBorder="1" applyAlignment="1" applyProtection="1">
      <alignment horizontal="center" vertical="center"/>
      <protection locked="0"/>
    </xf>
    <xf numFmtId="0" fontId="57" fillId="0" borderId="4" xfId="2" applyFont="1" applyBorder="1" applyAlignment="1" applyProtection="1">
      <alignment horizontal="right" vertical="center"/>
      <protection locked="0"/>
    </xf>
    <xf numFmtId="9" fontId="0" fillId="0" borderId="4" xfId="1" applyFont="1" applyFill="1" applyBorder="1" applyAlignment="1" applyProtection="1">
      <alignment horizontal="center"/>
      <protection locked="0"/>
    </xf>
    <xf numFmtId="0" fontId="20" fillId="0" borderId="25" xfId="2" applyFont="1" applyBorder="1" applyAlignment="1" applyProtection="1">
      <alignment vertical="center"/>
      <protection locked="0"/>
    </xf>
    <xf numFmtId="2" fontId="16" fillId="0" borderId="25" xfId="2" applyNumberFormat="1" applyFont="1" applyBorder="1" applyAlignment="1" applyProtection="1">
      <alignment vertical="center"/>
      <protection locked="0"/>
    </xf>
    <xf numFmtId="2" fontId="16" fillId="0" borderId="0" xfId="2" applyNumberFormat="1" applyFont="1" applyAlignment="1" applyProtection="1">
      <alignment vertical="center"/>
      <protection locked="0"/>
    </xf>
    <xf numFmtId="0" fontId="13" fillId="0" borderId="25"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25" xfId="2" applyFont="1" applyBorder="1" applyAlignment="1" applyProtection="1">
      <alignment vertical="center"/>
      <protection locked="0"/>
    </xf>
    <xf numFmtId="9" fontId="13" fillId="0" borderId="25" xfId="2" applyNumberFormat="1" applyFont="1" applyBorder="1" applyAlignment="1" applyProtection="1">
      <alignment horizontal="center" vertical="center"/>
      <protection locked="0"/>
    </xf>
    <xf numFmtId="9" fontId="13" fillId="0" borderId="4" xfId="2" applyNumberFormat="1" applyFont="1" applyBorder="1" applyAlignment="1" applyProtection="1">
      <alignment horizontal="center" vertical="center"/>
      <protection locked="0"/>
    </xf>
    <xf numFmtId="0" fontId="52" fillId="0" borderId="32" xfId="2" applyFont="1" applyBorder="1" applyAlignment="1" applyProtection="1">
      <alignment vertical="center"/>
      <protection locked="0"/>
    </xf>
    <xf numFmtId="0" fontId="52" fillId="0" borderId="0" xfId="2" applyFont="1" applyAlignment="1" applyProtection="1">
      <alignment horizontal="center" vertical="center"/>
      <protection locked="0"/>
    </xf>
    <xf numFmtId="9" fontId="13" fillId="0" borderId="0" xfId="2" applyNumberFormat="1" applyFont="1" applyAlignment="1" applyProtection="1">
      <alignment horizontal="center" vertical="center"/>
      <protection locked="0"/>
    </xf>
    <xf numFmtId="0" fontId="45" fillId="0" borderId="0" xfId="2" applyFont="1" applyAlignment="1" applyProtection="1">
      <alignment horizontal="center" vertical="center"/>
      <protection locked="0"/>
    </xf>
    <xf numFmtId="0" fontId="13" fillId="0" borderId="0" xfId="2" applyFont="1" applyAlignment="1" applyProtection="1">
      <alignment horizontal="center" vertical="center"/>
      <protection locked="0"/>
    </xf>
    <xf numFmtId="9" fontId="0" fillId="0" borderId="38" xfId="1" applyFont="1" applyFill="1" applyBorder="1" applyAlignment="1" applyProtection="1">
      <alignment horizontal="center"/>
      <protection locked="0"/>
    </xf>
    <xf numFmtId="2" fontId="60" fillId="14" borderId="0" xfId="0" applyNumberFormat="1" applyFont="1" applyFill="1" applyProtection="1">
      <protection locked="0"/>
    </xf>
    <xf numFmtId="0" fontId="8" fillId="15" borderId="32" xfId="0" applyFont="1" applyFill="1" applyBorder="1" applyAlignment="1" applyProtection="1">
      <alignment horizontal="center" vertical="center"/>
      <protection locked="0"/>
    </xf>
    <xf numFmtId="0" fontId="8" fillId="15"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39" fillId="28" borderId="32" xfId="0" applyFont="1" applyFill="1" applyBorder="1" applyAlignment="1" applyProtection="1">
      <alignment horizontal="center" vertical="center"/>
      <protection locked="0"/>
    </xf>
    <xf numFmtId="0" fontId="26" fillId="17" borderId="36" xfId="0" applyFont="1" applyFill="1" applyBorder="1" applyProtection="1">
      <protection locked="0"/>
    </xf>
    <xf numFmtId="0" fontId="43" fillId="31" borderId="26" xfId="0" applyFont="1" applyFill="1" applyBorder="1" applyAlignment="1" applyProtection="1">
      <alignment horizontal="center" vertical="center"/>
      <protection locked="0"/>
    </xf>
    <xf numFmtId="0" fontId="0" fillId="32" borderId="0" xfId="0" applyFill="1" applyProtection="1">
      <protection locked="0"/>
    </xf>
    <xf numFmtId="0" fontId="97" fillId="0" borderId="25" xfId="0" applyFont="1" applyBorder="1" applyAlignment="1" applyProtection="1">
      <alignment vertical="top" wrapText="1"/>
      <protection hidden="1"/>
    </xf>
    <xf numFmtId="0" fontId="66" fillId="22" borderId="35" xfId="0" applyFont="1" applyFill="1" applyBorder="1" applyAlignment="1" applyProtection="1">
      <alignment vertical="top" wrapText="1"/>
      <protection hidden="1"/>
    </xf>
    <xf numFmtId="0" fontId="190" fillId="0" borderId="0" xfId="0" applyFont="1"/>
    <xf numFmtId="0" fontId="60" fillId="0" borderId="0" xfId="0" applyFont="1" applyProtection="1">
      <protection locked="0"/>
    </xf>
    <xf numFmtId="0" fontId="0" fillId="0" borderId="0" xfId="0" applyAlignment="1" applyProtection="1">
      <alignment vertical="center"/>
      <protection hidden="1"/>
    </xf>
    <xf numFmtId="0" fontId="0" fillId="43" borderId="154" xfId="0" applyFill="1" applyBorder="1" applyProtection="1">
      <protection hidden="1"/>
    </xf>
    <xf numFmtId="0" fontId="30" fillId="0" borderId="73" xfId="2" applyFont="1" applyBorder="1" applyAlignment="1">
      <alignment horizontal="center" vertical="center"/>
    </xf>
    <xf numFmtId="0" fontId="6" fillId="79" borderId="160" xfId="0" applyFont="1" applyFill="1" applyBorder="1" applyAlignment="1" applyProtection="1">
      <alignment horizontal="center" vertical="center"/>
      <protection hidden="1"/>
    </xf>
    <xf numFmtId="0" fontId="181" fillId="0" borderId="163" xfId="0" applyFont="1" applyBorder="1" applyAlignment="1" applyProtection="1">
      <alignment horizontal="center" vertical="center"/>
      <protection locked="0" hidden="1"/>
    </xf>
    <xf numFmtId="0" fontId="4" fillId="63" borderId="32" xfId="0" applyFont="1" applyFill="1" applyBorder="1" applyAlignment="1" applyProtection="1">
      <alignment horizontal="center"/>
      <protection locked="0"/>
    </xf>
    <xf numFmtId="2" fontId="36" fillId="10" borderId="4" xfId="0" applyNumberFormat="1" applyFont="1" applyFill="1" applyBorder="1" applyProtection="1">
      <protection locked="0"/>
    </xf>
    <xf numFmtId="0" fontId="193" fillId="10" borderId="4" xfId="0" applyFont="1" applyFill="1" applyBorder="1" applyProtection="1">
      <protection locked="0"/>
    </xf>
    <xf numFmtId="2" fontId="36" fillId="10" borderId="11" xfId="0" applyNumberFormat="1" applyFont="1" applyFill="1" applyBorder="1" applyProtection="1">
      <protection locked="0"/>
    </xf>
    <xf numFmtId="2" fontId="36" fillId="10" borderId="9" xfId="0" applyNumberFormat="1" applyFont="1" applyFill="1" applyBorder="1" applyProtection="1">
      <protection locked="0"/>
    </xf>
    <xf numFmtId="0" fontId="194" fillId="0" borderId="0" xfId="0" applyFont="1" applyProtection="1">
      <protection hidden="1"/>
    </xf>
    <xf numFmtId="167" fontId="51" fillId="38" borderId="2" xfId="0" applyNumberFormat="1" applyFont="1" applyFill="1" applyBorder="1" applyAlignment="1" applyProtection="1">
      <alignment horizontal="center" vertical="center"/>
      <protection locked="0"/>
    </xf>
    <xf numFmtId="0" fontId="4" fillId="0" borderId="0" xfId="0" applyFont="1" applyAlignment="1">
      <alignment vertical="center"/>
    </xf>
    <xf numFmtId="0" fontId="0" fillId="0" borderId="0" xfId="0" applyAlignment="1">
      <alignment vertical="center"/>
    </xf>
    <xf numFmtId="0" fontId="4" fillId="54" borderId="18" xfId="0" applyFont="1" applyFill="1" applyBorder="1" applyAlignment="1">
      <alignment vertical="center"/>
    </xf>
    <xf numFmtId="0" fontId="175" fillId="54" borderId="20" xfId="0" applyFont="1" applyFill="1" applyBorder="1" applyAlignment="1" applyProtection="1">
      <alignment horizontal="center" vertical="center" wrapText="1"/>
      <protection locked="0"/>
    </xf>
    <xf numFmtId="2" fontId="31" fillId="0" borderId="73" xfId="2" applyNumberFormat="1" applyFont="1" applyBorder="1" applyAlignment="1" applyProtection="1">
      <alignment horizontal="center" vertical="center"/>
      <protection hidden="1"/>
    </xf>
    <xf numFmtId="2" fontId="31" fillId="4" borderId="73" xfId="2" applyNumberFormat="1" applyFont="1" applyFill="1" applyBorder="1" applyAlignment="1" applyProtection="1">
      <alignment horizontal="center" vertical="center"/>
      <protection hidden="1"/>
    </xf>
    <xf numFmtId="2" fontId="204" fillId="0" borderId="73" xfId="2" applyNumberFormat="1" applyFont="1" applyBorder="1" applyAlignment="1" applyProtection="1">
      <alignment horizontal="center" vertical="center"/>
      <protection hidden="1"/>
    </xf>
    <xf numFmtId="0" fontId="2" fillId="0" borderId="0" xfId="0" applyFont="1"/>
    <xf numFmtId="49" fontId="3" fillId="0" borderId="0" xfId="0" applyNumberFormat="1" applyFont="1" applyProtection="1">
      <protection locked="0" hidden="1"/>
    </xf>
    <xf numFmtId="0" fontId="96" fillId="21" borderId="0" xfId="0" applyFont="1" applyFill="1" applyAlignment="1" applyProtection="1">
      <alignment vertical="top" wrapText="1"/>
      <protection hidden="1"/>
    </xf>
    <xf numFmtId="0" fontId="97" fillId="43" borderId="9" xfId="0" applyFont="1" applyFill="1" applyBorder="1" applyAlignment="1" applyProtection="1">
      <alignment vertical="center"/>
      <protection hidden="1"/>
    </xf>
    <xf numFmtId="0" fontId="96" fillId="0" borderId="29" xfId="0" applyFont="1" applyBorder="1" applyAlignment="1" applyProtection="1">
      <alignment wrapText="1"/>
      <protection hidden="1"/>
    </xf>
    <xf numFmtId="0" fontId="102" fillId="0" borderId="73" xfId="2" applyFont="1" applyBorder="1" applyAlignment="1">
      <alignment horizontal="right" vertical="center"/>
    </xf>
    <xf numFmtId="0" fontId="102" fillId="0" borderId="73" xfId="2" applyFont="1" applyBorder="1" applyAlignment="1">
      <alignment horizontal="center" vertical="center"/>
    </xf>
    <xf numFmtId="0" fontId="102" fillId="0" borderId="73" xfId="2" applyFont="1" applyBorder="1" applyAlignment="1">
      <alignment vertical="center"/>
    </xf>
    <xf numFmtId="0" fontId="41" fillId="82" borderId="4" xfId="0" applyFont="1" applyFill="1" applyBorder="1" applyAlignment="1" applyProtection="1">
      <alignment horizontal="center" vertical="center" wrapText="1"/>
      <protection locked="0" hidden="1"/>
    </xf>
    <xf numFmtId="0" fontId="26" fillId="83" borderId="4" xfId="0" applyFont="1" applyFill="1" applyBorder="1" applyProtection="1">
      <protection locked="0" hidden="1"/>
    </xf>
    <xf numFmtId="0" fontId="90" fillId="83" borderId="4" xfId="0" applyFont="1" applyFill="1" applyBorder="1" applyAlignment="1" applyProtection="1">
      <alignment wrapText="1"/>
      <protection locked="0" hidden="1"/>
    </xf>
    <xf numFmtId="0" fontId="43" fillId="84" borderId="4" xfId="0" applyFont="1" applyFill="1" applyBorder="1" applyAlignment="1" applyProtection="1">
      <alignment horizontal="center" vertical="center"/>
      <protection locked="0"/>
    </xf>
    <xf numFmtId="0" fontId="43" fillId="83" borderId="4" xfId="0" applyFont="1" applyFill="1" applyBorder="1" applyAlignment="1" applyProtection="1">
      <alignment horizontal="center" vertical="center"/>
      <protection locked="0"/>
    </xf>
    <xf numFmtId="0" fontId="41" fillId="86" borderId="4" xfId="0" applyFont="1" applyFill="1" applyBorder="1" applyAlignment="1" applyProtection="1">
      <alignment horizontal="center" vertical="center" wrapText="1"/>
      <protection locked="0" hidden="1"/>
    </xf>
    <xf numFmtId="0" fontId="26" fillId="21" borderId="4" xfId="0" applyFont="1" applyFill="1" applyBorder="1" applyProtection="1">
      <protection locked="0" hidden="1"/>
    </xf>
    <xf numFmtId="0" fontId="90" fillId="21" borderId="4" xfId="0" applyFont="1" applyFill="1" applyBorder="1" applyAlignment="1" applyProtection="1">
      <alignment wrapText="1"/>
      <protection locked="0" hidden="1"/>
    </xf>
    <xf numFmtId="0" fontId="43" fillId="87" borderId="4" xfId="0" applyFont="1" applyFill="1" applyBorder="1" applyAlignment="1" applyProtection="1">
      <alignment horizontal="center" vertical="center"/>
      <protection locked="0"/>
    </xf>
    <xf numFmtId="0" fontId="43" fillId="21" borderId="4" xfId="0" applyFont="1" applyFill="1" applyBorder="1" applyAlignment="1" applyProtection="1">
      <alignment horizontal="center" vertical="center"/>
      <protection locked="0"/>
    </xf>
    <xf numFmtId="0" fontId="43" fillId="21" borderId="4" xfId="0" applyFont="1" applyFill="1" applyBorder="1" applyAlignment="1" applyProtection="1">
      <alignment horizontal="center"/>
      <protection locked="0"/>
    </xf>
    <xf numFmtId="0" fontId="44" fillId="21" borderId="4" xfId="0" applyFont="1" applyFill="1" applyBorder="1" applyAlignment="1" applyProtection="1">
      <alignment horizontal="center" vertical="center"/>
      <protection locked="0"/>
    </xf>
    <xf numFmtId="0" fontId="209" fillId="21" borderId="4" xfId="0" applyFont="1" applyFill="1" applyBorder="1" applyAlignment="1" applyProtection="1">
      <alignment horizontal="center" vertical="center"/>
      <protection locked="0"/>
    </xf>
    <xf numFmtId="0" fontId="43" fillId="28" borderId="4" xfId="0" applyFont="1" applyFill="1" applyBorder="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wrapText="1"/>
      <protection locked="0"/>
    </xf>
    <xf numFmtId="0" fontId="35" fillId="89" borderId="164" xfId="0" applyFont="1" applyFill="1" applyBorder="1" applyAlignment="1" applyProtection="1">
      <alignment horizontal="center" vertical="center"/>
      <protection locked="0" hidden="1"/>
    </xf>
    <xf numFmtId="0" fontId="7" fillId="89" borderId="164" xfId="0" applyFont="1" applyFill="1" applyBorder="1" applyAlignment="1" applyProtection="1">
      <alignment horizontal="center" vertical="center"/>
      <protection locked="0" hidden="1"/>
    </xf>
    <xf numFmtId="0" fontId="141" fillId="89" borderId="164" xfId="0" applyFont="1" applyFill="1" applyBorder="1" applyAlignment="1" applyProtection="1">
      <alignment horizontal="center" vertical="center"/>
      <protection locked="0"/>
    </xf>
    <xf numFmtId="0" fontId="63" fillId="59" borderId="0" xfId="0" applyFont="1" applyFill="1" applyAlignment="1" applyProtection="1">
      <alignment horizontal="center" vertical="center"/>
      <protection hidden="1"/>
    </xf>
    <xf numFmtId="0" fontId="180" fillId="78" borderId="164" xfId="0" applyFont="1" applyFill="1" applyBorder="1" applyAlignment="1" applyProtection="1">
      <alignment horizontal="center" vertical="center"/>
      <protection hidden="1"/>
    </xf>
    <xf numFmtId="0" fontId="191" fillId="0" borderId="164" xfId="0" applyFont="1" applyBorder="1" applyAlignment="1" applyProtection="1">
      <alignment horizontal="center" vertical="center"/>
      <protection locked="0"/>
    </xf>
    <xf numFmtId="0" fontId="96" fillId="0" borderId="29" xfId="0" applyFont="1" applyBorder="1" applyAlignment="1" applyProtection="1">
      <alignment vertical="center" wrapText="1"/>
      <protection hidden="1"/>
    </xf>
    <xf numFmtId="0" fontId="0" fillId="90" borderId="165" xfId="0" applyFill="1" applyBorder="1" applyProtection="1">
      <protection locked="0"/>
    </xf>
    <xf numFmtId="0" fontId="4" fillId="90" borderId="165" xfId="0" applyFont="1" applyFill="1" applyBorder="1" applyProtection="1">
      <protection locked="0"/>
    </xf>
    <xf numFmtId="0" fontId="0" fillId="43" borderId="56" xfId="0" applyFill="1" applyBorder="1" applyProtection="1">
      <protection hidden="1"/>
    </xf>
    <xf numFmtId="14" fontId="61" fillId="2" borderId="170" xfId="0" applyNumberFormat="1" applyFont="1" applyFill="1" applyBorder="1" applyAlignment="1">
      <alignment vertical="center"/>
    </xf>
    <xf numFmtId="0" fontId="64" fillId="65" borderId="170" xfId="0" applyFont="1" applyFill="1" applyBorder="1" applyAlignment="1">
      <alignment vertical="center"/>
    </xf>
    <xf numFmtId="0" fontId="93" fillId="65" borderId="170" xfId="0" applyFont="1" applyFill="1" applyBorder="1" applyAlignment="1">
      <alignment vertical="center"/>
    </xf>
    <xf numFmtId="0" fontId="174" fillId="2" borderId="170" xfId="0" applyFont="1" applyFill="1" applyBorder="1" applyAlignment="1">
      <alignment horizontal="center" vertical="center"/>
    </xf>
    <xf numFmtId="0" fontId="181" fillId="2" borderId="170" xfId="5" applyNumberFormat="1" applyFont="1" applyFill="1" applyBorder="1" applyAlignment="1" applyProtection="1">
      <alignment vertical="center"/>
      <protection hidden="1"/>
    </xf>
    <xf numFmtId="0" fontId="61" fillId="2" borderId="170" xfId="5" applyNumberFormat="1" applyFont="1" applyFill="1" applyBorder="1" applyAlignment="1" applyProtection="1">
      <alignment vertical="center"/>
      <protection hidden="1"/>
    </xf>
    <xf numFmtId="0" fontId="105" fillId="2" borderId="170" xfId="0" applyFont="1" applyFill="1" applyBorder="1" applyAlignment="1">
      <alignment vertical="center"/>
    </xf>
    <xf numFmtId="0" fontId="202" fillId="65" borderId="170" xfId="0" applyFont="1" applyFill="1" applyBorder="1" applyAlignment="1">
      <alignment horizontal="center" vertical="center" wrapText="1"/>
    </xf>
    <xf numFmtId="0" fontId="202" fillId="65" borderId="170" xfId="0" applyFont="1" applyFill="1" applyBorder="1" applyAlignment="1" applyProtection="1">
      <alignment horizontal="left" vertical="center" wrapText="1" indent="1"/>
      <protection hidden="1"/>
    </xf>
    <xf numFmtId="0" fontId="202" fillId="65" borderId="170" xfId="0" applyFont="1" applyFill="1" applyBorder="1" applyAlignment="1">
      <alignment horizontal="center" vertical="center" textRotation="90" wrapText="1"/>
    </xf>
    <xf numFmtId="0" fontId="202" fillId="64" borderId="170" xfId="0" applyFont="1" applyFill="1" applyBorder="1" applyAlignment="1" applyProtection="1">
      <alignment horizontal="center" vertical="center" textRotation="90" wrapText="1"/>
      <protection locked="0"/>
    </xf>
    <xf numFmtId="0" fontId="202" fillId="65" borderId="170" xfId="0" applyFont="1" applyFill="1" applyBorder="1" applyAlignment="1" applyProtection="1">
      <alignment horizontal="center" vertical="center" textRotation="90" wrapText="1"/>
      <protection locked="0"/>
    </xf>
    <xf numFmtId="0" fontId="202" fillId="65" borderId="170" xfId="0" applyFont="1" applyFill="1" applyBorder="1" applyAlignment="1" applyProtection="1">
      <alignment horizontal="center" vertical="center" wrapText="1"/>
      <protection hidden="1"/>
    </xf>
    <xf numFmtId="0" fontId="202" fillId="64" borderId="170" xfId="0" applyFont="1" applyFill="1" applyBorder="1" applyAlignment="1" applyProtection="1">
      <alignment horizontal="center" vertical="center" wrapText="1"/>
      <protection locked="0" hidden="1"/>
    </xf>
    <xf numFmtId="0" fontId="202" fillId="64" borderId="170" xfId="0" applyFont="1" applyFill="1" applyBorder="1" applyAlignment="1" applyProtection="1">
      <alignment horizontal="center" vertical="center" wrapText="1"/>
      <protection hidden="1"/>
    </xf>
    <xf numFmtId="0" fontId="201" fillId="65" borderId="170" xfId="0" applyFont="1" applyFill="1" applyBorder="1" applyAlignment="1" applyProtection="1">
      <alignment horizontal="center" vertical="center" textRotation="90" wrapText="1"/>
      <protection hidden="1"/>
    </xf>
    <xf numFmtId="0" fontId="202" fillId="2" borderId="170" xfId="0" applyFont="1" applyFill="1" applyBorder="1" applyAlignment="1" applyProtection="1">
      <alignment horizontal="center" vertical="center" textRotation="90" wrapText="1"/>
      <protection hidden="1"/>
    </xf>
    <xf numFmtId="0" fontId="202" fillId="18" borderId="170" xfId="0" applyFont="1" applyFill="1" applyBorder="1" applyAlignment="1" applyProtection="1">
      <alignment horizontal="center" vertical="center" wrapText="1"/>
      <protection hidden="1"/>
    </xf>
    <xf numFmtId="0" fontId="202" fillId="65" borderId="170" xfId="0" applyFont="1" applyFill="1" applyBorder="1" applyAlignment="1" applyProtection="1">
      <alignment horizontal="center" vertical="center" textRotation="90" wrapText="1"/>
      <protection hidden="1"/>
    </xf>
    <xf numFmtId="0" fontId="173" fillId="56" borderId="170" xfId="0" applyFont="1" applyFill="1" applyBorder="1" applyAlignment="1">
      <alignment horizontal="center"/>
    </xf>
    <xf numFmtId="0" fontId="173" fillId="56" borderId="170" xfId="0" applyFont="1" applyFill="1" applyBorder="1" applyAlignment="1">
      <alignment horizontal="center" wrapText="1"/>
    </xf>
    <xf numFmtId="0" fontId="124" fillId="0" borderId="0" xfId="0" applyFont="1" applyAlignment="1">
      <alignment horizontal="left"/>
    </xf>
    <xf numFmtId="0" fontId="124" fillId="0" borderId="0" xfId="0" applyFont="1" applyAlignment="1">
      <alignment horizontal="center"/>
    </xf>
    <xf numFmtId="0" fontId="141" fillId="56" borderId="170" xfId="0" applyFont="1" applyFill="1" applyBorder="1" applyAlignment="1" applyProtection="1">
      <alignment horizontal="center" vertical="center"/>
      <protection hidden="1"/>
    </xf>
    <xf numFmtId="17" fontId="65" fillId="2" borderId="170" xfId="0" applyNumberFormat="1" applyFont="1" applyFill="1" applyBorder="1" applyAlignment="1" applyProtection="1">
      <alignment horizontal="center" vertical="center"/>
      <protection hidden="1"/>
    </xf>
    <xf numFmtId="0" fontId="17" fillId="0" borderId="170" xfId="0" applyFont="1" applyBorder="1" applyAlignment="1" applyProtection="1">
      <alignment horizontal="center" vertical="center"/>
      <protection locked="0" hidden="1"/>
    </xf>
    <xf numFmtId="0" fontId="17" fillId="2" borderId="170" xfId="0" applyFont="1" applyFill="1" applyBorder="1" applyAlignment="1" applyProtection="1">
      <alignment horizontal="center" vertical="center"/>
      <protection locked="0" hidden="1"/>
    </xf>
    <xf numFmtId="0" fontId="65" fillId="2" borderId="170" xfId="0" applyFont="1" applyFill="1" applyBorder="1" applyAlignment="1" applyProtection="1">
      <alignment horizontal="center" vertical="center"/>
      <protection hidden="1"/>
    </xf>
    <xf numFmtId="1" fontId="17" fillId="0" borderId="170" xfId="0" applyNumberFormat="1" applyFont="1" applyBorder="1" applyAlignment="1" applyProtection="1">
      <alignment horizontal="center" vertical="center"/>
      <protection locked="0" hidden="1"/>
    </xf>
    <xf numFmtId="0" fontId="17" fillId="55" borderId="170" xfId="0" applyFont="1" applyFill="1" applyBorder="1" applyAlignment="1" applyProtection="1">
      <alignment horizontal="center" vertical="center"/>
      <protection locked="0" hidden="1"/>
    </xf>
    <xf numFmtId="0" fontId="17" fillId="65" borderId="170" xfId="0" applyFont="1" applyFill="1" applyBorder="1" applyAlignment="1" applyProtection="1">
      <alignment horizontal="center" vertical="center"/>
      <protection locked="0" hidden="1"/>
    </xf>
    <xf numFmtId="1" fontId="65" fillId="65" borderId="170" xfId="5" applyNumberFormat="1" applyFont="1" applyFill="1" applyBorder="1" applyAlignment="1" applyProtection="1">
      <alignment horizontal="center" vertical="center"/>
      <protection hidden="1"/>
    </xf>
    <xf numFmtId="1" fontId="65" fillId="65" borderId="170" xfId="0" applyNumberFormat="1" applyFont="1" applyFill="1" applyBorder="1" applyAlignment="1" applyProtection="1">
      <alignment vertical="center"/>
      <protection hidden="1"/>
    </xf>
    <xf numFmtId="0" fontId="4" fillId="0" borderId="170" xfId="0" applyFont="1" applyBorder="1" applyAlignment="1" applyProtection="1">
      <alignment vertical="center"/>
      <protection locked="0" hidden="1"/>
    </xf>
    <xf numFmtId="17" fontId="17" fillId="2" borderId="170" xfId="0" applyNumberFormat="1" applyFont="1" applyFill="1" applyBorder="1" applyAlignment="1" applyProtection="1">
      <alignment horizontal="center" vertical="center"/>
      <protection hidden="1"/>
    </xf>
    <xf numFmtId="2" fontId="17" fillId="0" borderId="170" xfId="0" applyNumberFormat="1" applyFont="1" applyBorder="1" applyAlignment="1" applyProtection="1">
      <alignment horizontal="center" vertical="center"/>
      <protection locked="0" hidden="1"/>
    </xf>
    <xf numFmtId="0" fontId="176" fillId="0" borderId="170" xfId="0" applyFont="1" applyBorder="1" applyAlignment="1" applyProtection="1">
      <alignment horizontal="center" vertical="center"/>
      <protection locked="0"/>
    </xf>
    <xf numFmtId="0" fontId="141" fillId="56" borderId="170" xfId="0" applyFont="1" applyFill="1" applyBorder="1" applyAlignment="1">
      <alignment horizontal="center" vertical="center"/>
    </xf>
    <xf numFmtId="17" fontId="65" fillId="2" borderId="170" xfId="0" applyNumberFormat="1" applyFont="1" applyFill="1" applyBorder="1" applyAlignment="1">
      <alignment horizontal="center" vertical="center"/>
    </xf>
    <xf numFmtId="17" fontId="65" fillId="2" borderId="170" xfId="0" applyNumberFormat="1" applyFont="1" applyFill="1" applyBorder="1" applyAlignment="1">
      <alignment horizontal="center" vertical="center" wrapText="1"/>
    </xf>
    <xf numFmtId="17" fontId="65" fillId="2" borderId="170" xfId="0" applyNumberFormat="1" applyFont="1" applyFill="1" applyBorder="1" applyAlignment="1" applyProtection="1">
      <alignment horizontal="center" vertical="center"/>
      <protection locked="0"/>
    </xf>
    <xf numFmtId="0" fontId="17" fillId="2" borderId="170" xfId="0" applyFont="1" applyFill="1" applyBorder="1" applyAlignment="1" applyProtection="1">
      <alignment horizontal="center" vertical="center"/>
      <protection hidden="1"/>
    </xf>
    <xf numFmtId="167" fontId="51" fillId="2" borderId="170" xfId="0" applyNumberFormat="1" applyFont="1" applyFill="1" applyBorder="1" applyAlignment="1" applyProtection="1">
      <alignment horizontal="center" vertical="center"/>
      <protection locked="0" hidden="1"/>
    </xf>
    <xf numFmtId="1" fontId="17" fillId="77" borderId="170" xfId="0" applyNumberFormat="1" applyFont="1" applyFill="1" applyBorder="1" applyAlignment="1" applyProtection="1">
      <alignment horizontal="center" vertical="center"/>
      <protection locked="0" hidden="1"/>
    </xf>
    <xf numFmtId="0" fontId="2" fillId="0" borderId="170" xfId="0" applyFont="1" applyBorder="1" applyAlignment="1" applyProtection="1">
      <alignment vertical="center"/>
      <protection locked="0" hidden="1"/>
    </xf>
    <xf numFmtId="0" fontId="210" fillId="91" borderId="176" xfId="0" applyFont="1" applyFill="1" applyBorder="1" applyAlignment="1">
      <alignment vertical="center"/>
    </xf>
    <xf numFmtId="0" fontId="214" fillId="9" borderId="176" xfId="0" applyFont="1" applyFill="1" applyBorder="1" applyAlignment="1">
      <alignment horizontal="left" vertical="center"/>
    </xf>
    <xf numFmtId="0" fontId="0" fillId="0" borderId="177" xfId="0" applyBorder="1"/>
    <xf numFmtId="0" fontId="39" fillId="0" borderId="164" xfId="0" applyFont="1" applyBorder="1" applyAlignment="1" applyProtection="1">
      <alignment horizontal="center" vertical="center" wrapText="1"/>
      <protection locked="0" hidden="1"/>
    </xf>
    <xf numFmtId="0" fontId="0" fillId="43" borderId="0" xfId="0" applyFill="1"/>
    <xf numFmtId="0" fontId="0" fillId="43" borderId="0" xfId="0" applyFill="1" applyAlignment="1">
      <alignment vertical="top"/>
    </xf>
    <xf numFmtId="0" fontId="0" fillId="0" borderId="0" xfId="0" applyAlignment="1">
      <alignment vertical="top"/>
    </xf>
    <xf numFmtId="0" fontId="0" fillId="0" borderId="0" xfId="0" applyAlignment="1">
      <alignment wrapText="1"/>
    </xf>
    <xf numFmtId="0" fontId="0" fillId="0" borderId="178" xfId="0" applyBorder="1"/>
    <xf numFmtId="0" fontId="0" fillId="0" borderId="179" xfId="0" applyBorder="1"/>
    <xf numFmtId="0" fontId="187" fillId="0" borderId="164" xfId="0" applyFont="1" applyBorder="1" applyAlignment="1" applyProtection="1">
      <alignment horizontal="center" vertical="center"/>
      <protection locked="0" hidden="1"/>
    </xf>
    <xf numFmtId="0" fontId="141" fillId="0" borderId="164" xfId="0" applyFont="1" applyBorder="1" applyAlignment="1" applyProtection="1">
      <alignment horizontal="center" vertical="center"/>
      <protection locked="0" hidden="1"/>
    </xf>
    <xf numFmtId="9" fontId="42" fillId="89" borderId="164" xfId="1" applyFont="1" applyFill="1" applyBorder="1" applyAlignment="1" applyProtection="1">
      <alignment horizontal="center" vertical="center"/>
      <protection locked="0" hidden="1"/>
    </xf>
    <xf numFmtId="0" fontId="0" fillId="43" borderId="0" xfId="0" applyFill="1" applyAlignment="1">
      <alignment vertical="center"/>
    </xf>
    <xf numFmtId="0" fontId="79" fillId="36" borderId="164" xfId="0" applyFont="1" applyFill="1" applyBorder="1" applyAlignment="1" applyProtection="1">
      <alignment horizontal="center" vertical="center"/>
      <protection locked="0"/>
    </xf>
    <xf numFmtId="0" fontId="215" fillId="92" borderId="164" xfId="0" applyFont="1" applyFill="1" applyBorder="1" applyAlignment="1">
      <alignment horizontal="center" vertical="center"/>
    </xf>
    <xf numFmtId="0" fontId="0" fillId="0" borderId="164" xfId="0" applyBorder="1" applyAlignment="1">
      <alignment horizontal="center" vertical="center"/>
    </xf>
    <xf numFmtId="0" fontId="0" fillId="0" borderId="183" xfId="0" applyBorder="1"/>
    <xf numFmtId="0" fontId="0" fillId="0" borderId="184" xfId="0" applyBorder="1" applyAlignment="1">
      <alignment horizontal="center" vertical="center"/>
    </xf>
    <xf numFmtId="0" fontId="0" fillId="0" borderId="184" xfId="0" applyBorder="1"/>
    <xf numFmtId="0" fontId="0" fillId="0" borderId="184" xfId="0" applyBorder="1" applyAlignment="1">
      <alignment horizontal="center"/>
    </xf>
    <xf numFmtId="0" fontId="0" fillId="0" borderId="185" xfId="0" applyBorder="1" applyAlignment="1">
      <alignment horizontal="center"/>
    </xf>
    <xf numFmtId="0" fontId="0" fillId="0" borderId="186" xfId="0" applyBorder="1"/>
    <xf numFmtId="0" fontId="0" fillId="0" borderId="187" xfId="0" applyBorder="1" applyAlignment="1">
      <alignment horizontal="center"/>
    </xf>
    <xf numFmtId="0" fontId="76" fillId="0" borderId="189" xfId="0" applyFont="1" applyBorder="1" applyAlignment="1">
      <alignment horizontal="center" vertical="center"/>
    </xf>
    <xf numFmtId="0" fontId="86" fillId="6" borderId="191" xfId="0" applyFont="1" applyFill="1" applyBorder="1" applyAlignment="1">
      <alignment horizontal="center" vertical="center" wrapText="1"/>
    </xf>
    <xf numFmtId="0" fontId="83" fillId="6" borderId="192" xfId="0" applyFont="1" applyFill="1" applyBorder="1" applyAlignment="1">
      <alignment horizontal="center" vertical="center"/>
    </xf>
    <xf numFmtId="0" fontId="84" fillId="6" borderId="193" xfId="0" applyFont="1" applyFill="1" applyBorder="1" applyAlignment="1">
      <alignment horizontal="center" vertical="center"/>
    </xf>
    <xf numFmtId="0" fontId="73" fillId="33" borderId="192" xfId="0" applyFont="1" applyFill="1" applyBorder="1" applyAlignment="1">
      <alignment horizontal="center" vertical="center"/>
    </xf>
    <xf numFmtId="0" fontId="69" fillId="6" borderId="194" xfId="0" applyFont="1" applyFill="1" applyBorder="1" applyAlignment="1">
      <alignment horizontal="center" vertical="center"/>
    </xf>
    <xf numFmtId="0" fontId="0" fillId="0" borderId="195" xfId="0" applyBorder="1" applyAlignment="1">
      <alignment horizontal="center"/>
    </xf>
    <xf numFmtId="0" fontId="0" fillId="0" borderId="196" xfId="0" applyBorder="1"/>
    <xf numFmtId="0" fontId="0" fillId="0" borderId="197" xfId="0" applyBorder="1" applyAlignment="1">
      <alignment horizontal="center" vertical="center"/>
    </xf>
    <xf numFmtId="0" fontId="0" fillId="0" borderId="197" xfId="0" applyBorder="1"/>
    <xf numFmtId="0" fontId="0" fillId="0" borderId="197" xfId="0" applyBorder="1" applyAlignment="1">
      <alignment horizontal="center"/>
    </xf>
    <xf numFmtId="0" fontId="0" fillId="0" borderId="198" xfId="0" applyBorder="1" applyAlignment="1">
      <alignment horizontal="center"/>
    </xf>
    <xf numFmtId="0" fontId="219" fillId="89" borderId="164" xfId="0" applyFont="1" applyFill="1" applyBorder="1" applyAlignment="1" applyProtection="1">
      <alignment horizontal="center" vertical="center"/>
      <protection locked="0" hidden="1"/>
    </xf>
    <xf numFmtId="0" fontId="39" fillId="0" borderId="164" xfId="0" applyFont="1" applyBorder="1" applyAlignment="1" applyProtection="1">
      <alignment vertical="center" wrapText="1"/>
      <protection locked="0" hidden="1"/>
    </xf>
    <xf numFmtId="0" fontId="0" fillId="0" borderId="199" xfId="0" applyBorder="1"/>
    <xf numFmtId="0" fontId="8" fillId="14" borderId="0" xfId="0" applyFont="1" applyFill="1" applyAlignment="1" applyProtection="1">
      <alignment horizontal="center" vertical="center"/>
      <protection locked="0"/>
    </xf>
    <xf numFmtId="0" fontId="8" fillId="14" borderId="0" xfId="0" applyFont="1" applyFill="1" applyAlignment="1" applyProtection="1">
      <alignment vertical="center"/>
      <protection locked="0"/>
    </xf>
    <xf numFmtId="0" fontId="0" fillId="43" borderId="210" xfId="0" applyFill="1" applyBorder="1" applyProtection="1">
      <protection hidden="1"/>
    </xf>
    <xf numFmtId="0" fontId="0" fillId="43" borderId="211" xfId="0" applyFill="1" applyBorder="1" applyProtection="1">
      <protection hidden="1"/>
    </xf>
    <xf numFmtId="0" fontId="0" fillId="43" borderId="212" xfId="0" applyFill="1" applyBorder="1" applyProtection="1">
      <protection hidden="1"/>
    </xf>
    <xf numFmtId="0" fontId="0" fillId="43" borderId="213" xfId="0" applyFill="1" applyBorder="1" applyProtection="1">
      <protection hidden="1"/>
    </xf>
    <xf numFmtId="0" fontId="62" fillId="43" borderId="214" xfId="0" applyFont="1" applyFill="1" applyBorder="1" applyProtection="1">
      <protection hidden="1"/>
    </xf>
    <xf numFmtId="0" fontId="66" fillId="43" borderId="214" xfId="0" applyFont="1" applyFill="1" applyBorder="1" applyProtection="1">
      <protection hidden="1"/>
    </xf>
    <xf numFmtId="0" fontId="0" fillId="43" borderId="215" xfId="0" applyFill="1" applyBorder="1" applyProtection="1">
      <protection hidden="1"/>
    </xf>
    <xf numFmtId="0" fontId="100" fillId="59" borderId="214" xfId="0" applyFont="1" applyFill="1" applyBorder="1" applyAlignment="1" applyProtection="1">
      <alignment horizontal="center" vertical="center"/>
      <protection hidden="1"/>
    </xf>
    <xf numFmtId="49" fontId="105" fillId="43" borderId="214" xfId="0" applyNumberFormat="1" applyFont="1" applyFill="1" applyBorder="1" applyAlignment="1" applyProtection="1">
      <alignment horizontal="center" vertical="center"/>
      <protection locked="0" hidden="1"/>
    </xf>
    <xf numFmtId="49" fontId="105" fillId="43" borderId="214" xfId="0" applyNumberFormat="1" applyFont="1" applyFill="1" applyBorder="1" applyAlignment="1" applyProtection="1">
      <alignment horizontal="center" vertical="center" wrapText="1"/>
      <protection locked="0" hidden="1"/>
    </xf>
    <xf numFmtId="0" fontId="0" fillId="43" borderId="214" xfId="0" applyFill="1" applyBorder="1" applyProtection="1">
      <protection hidden="1"/>
    </xf>
    <xf numFmtId="0" fontId="104" fillId="60" borderId="214" xfId="0" applyFont="1" applyFill="1" applyBorder="1" applyAlignment="1" applyProtection="1">
      <alignment horizontal="center" vertical="center"/>
      <protection hidden="1"/>
    </xf>
    <xf numFmtId="0" fontId="102" fillId="43" borderId="214" xfId="0" applyFont="1" applyFill="1" applyBorder="1" applyProtection="1">
      <protection locked="0" hidden="1"/>
    </xf>
    <xf numFmtId="0" fontId="0" fillId="43" borderId="216" xfId="0" applyFill="1" applyBorder="1" applyProtection="1">
      <protection hidden="1"/>
    </xf>
    <xf numFmtId="0" fontId="102" fillId="43" borderId="214" xfId="0" applyFont="1" applyFill="1" applyBorder="1" applyProtection="1">
      <protection hidden="1"/>
    </xf>
    <xf numFmtId="0" fontId="0" fillId="43" borderId="217" xfId="0" applyFill="1" applyBorder="1" applyProtection="1">
      <protection hidden="1"/>
    </xf>
    <xf numFmtId="0" fontId="0" fillId="43" borderId="218" xfId="0" applyFill="1" applyBorder="1" applyProtection="1">
      <protection hidden="1"/>
    </xf>
    <xf numFmtId="0" fontId="174" fillId="39" borderId="164" xfId="0" applyFont="1" applyFill="1" applyBorder="1" applyAlignment="1" applyProtection="1">
      <alignment horizontal="center" vertical="center"/>
      <protection hidden="1"/>
    </xf>
    <xf numFmtId="49" fontId="174" fillId="38" borderId="55" xfId="0" applyNumberFormat="1" applyFont="1" applyFill="1" applyBorder="1" applyAlignment="1" applyProtection="1">
      <alignment horizontal="center" vertical="center"/>
      <protection hidden="1"/>
    </xf>
    <xf numFmtId="49" fontId="174" fillId="0" borderId="164" xfId="0" applyNumberFormat="1" applyFont="1" applyBorder="1" applyAlignment="1" applyProtection="1">
      <alignment horizontal="center" vertical="center" wrapText="1"/>
      <protection locked="0" hidden="1"/>
    </xf>
    <xf numFmtId="14" fontId="174" fillId="41" borderId="164" xfId="0" applyNumberFormat="1" applyFont="1" applyFill="1" applyBorder="1" applyAlignment="1" applyProtection="1">
      <alignment horizontal="center" vertical="center"/>
      <protection locked="0" hidden="1"/>
    </xf>
    <xf numFmtId="0" fontId="174" fillId="39" borderId="164" xfId="0" applyFont="1" applyFill="1" applyBorder="1" applyAlignment="1" applyProtection="1">
      <alignment horizontal="center" vertical="center" wrapText="1"/>
      <protection hidden="1"/>
    </xf>
    <xf numFmtId="49" fontId="174" fillId="0" borderId="164" xfId="0" applyNumberFormat="1" applyFont="1" applyBorder="1" applyAlignment="1" applyProtection="1">
      <alignment horizontal="center" vertical="center"/>
      <protection locked="0" hidden="1"/>
    </xf>
    <xf numFmtId="49" fontId="174" fillId="42" borderId="164" xfId="0" applyNumberFormat="1" applyFont="1" applyFill="1" applyBorder="1" applyAlignment="1" applyProtection="1">
      <alignment horizontal="center" vertical="center" wrapText="1"/>
      <protection locked="0" hidden="1"/>
    </xf>
    <xf numFmtId="49" fontId="174" fillId="0" borderId="55" xfId="0" applyNumberFormat="1" applyFont="1" applyBorder="1" applyAlignment="1" applyProtection="1">
      <alignment horizontal="center" vertical="center"/>
      <protection locked="0" hidden="1"/>
    </xf>
    <xf numFmtId="0" fontId="105" fillId="39" borderId="164" xfId="0" applyFont="1" applyFill="1" applyBorder="1" applyAlignment="1" applyProtection="1">
      <alignment horizontal="center" vertical="center" wrapText="1"/>
      <protection hidden="1"/>
    </xf>
    <xf numFmtId="0" fontId="221" fillId="89" borderId="164" xfId="0" applyFont="1" applyFill="1" applyBorder="1" applyAlignment="1" applyProtection="1">
      <alignment horizontal="center" vertical="center"/>
      <protection locked="0" hidden="1"/>
    </xf>
    <xf numFmtId="49" fontId="105" fillId="0" borderId="164" xfId="0" applyNumberFormat="1" applyFont="1" applyBorder="1" applyAlignment="1" applyProtection="1">
      <alignment horizontal="center" vertical="center" wrapText="1"/>
      <protection locked="0" hidden="1"/>
    </xf>
    <xf numFmtId="0" fontId="137" fillId="75" borderId="164" xfId="0" applyFont="1" applyFill="1" applyBorder="1" applyAlignment="1" applyProtection="1">
      <alignment horizontal="center" vertical="center" wrapText="1"/>
      <protection hidden="1"/>
    </xf>
    <xf numFmtId="0" fontId="224" fillId="75" borderId="164" xfId="0" applyFont="1" applyFill="1" applyBorder="1" applyAlignment="1" applyProtection="1">
      <alignment horizontal="center" vertical="center" wrapText="1"/>
      <protection hidden="1"/>
    </xf>
    <xf numFmtId="0" fontId="229" fillId="75" borderId="164" xfId="0" applyFont="1" applyFill="1" applyBorder="1" applyAlignment="1" applyProtection="1">
      <alignment horizontal="center" vertical="center" wrapText="1"/>
      <protection hidden="1"/>
    </xf>
    <xf numFmtId="0" fontId="36" fillId="24" borderId="26" xfId="0" applyFont="1" applyFill="1" applyBorder="1" applyAlignment="1" applyProtection="1">
      <alignment horizontal="center"/>
      <protection locked="0"/>
    </xf>
    <xf numFmtId="0" fontId="97" fillId="43" borderId="14" xfId="0" applyFont="1" applyFill="1" applyBorder="1" applyAlignment="1" applyProtection="1">
      <alignment vertical="center"/>
      <protection hidden="1"/>
    </xf>
    <xf numFmtId="0" fontId="232" fillId="75" borderId="164" xfId="0" applyFont="1" applyFill="1" applyBorder="1" applyAlignment="1" applyProtection="1">
      <alignment horizontal="center" vertical="center" wrapText="1"/>
      <protection hidden="1"/>
    </xf>
    <xf numFmtId="0" fontId="0" fillId="0" borderId="0" xfId="0" applyAlignment="1">
      <alignment horizontal="center" vertical="center" wrapText="1"/>
    </xf>
    <xf numFmtId="0" fontId="97" fillId="0" borderId="25" xfId="0" applyFont="1" applyBorder="1" applyAlignment="1" applyProtection="1">
      <alignment vertical="center" wrapText="1"/>
      <protection hidden="1"/>
    </xf>
    <xf numFmtId="0" fontId="180" fillId="78" borderId="56" xfId="0" applyFont="1" applyFill="1" applyBorder="1" applyAlignment="1" applyProtection="1">
      <alignment horizontal="center" vertical="center"/>
      <protection hidden="1"/>
    </xf>
    <xf numFmtId="0" fontId="191" fillId="23" borderId="0" xfId="0" applyFont="1" applyFill="1" applyAlignment="1" applyProtection="1">
      <alignment horizontal="center" vertical="center"/>
      <protection hidden="1"/>
    </xf>
    <xf numFmtId="0" fontId="191" fillId="0" borderId="201" xfId="0" applyFont="1" applyBorder="1" applyAlignment="1" applyProtection="1">
      <alignment horizontal="center" vertical="center"/>
      <protection locked="0"/>
    </xf>
    <xf numFmtId="0" fontId="0" fillId="43" borderId="222" xfId="0" applyFill="1" applyBorder="1" applyProtection="1">
      <protection hidden="1"/>
    </xf>
    <xf numFmtId="0" fontId="0" fillId="43" borderId="168" xfId="0" applyFill="1" applyBorder="1" applyProtection="1">
      <protection hidden="1"/>
    </xf>
    <xf numFmtId="0" fontId="191" fillId="23" borderId="56" xfId="0" applyFont="1" applyFill="1" applyBorder="1" applyAlignment="1" applyProtection="1">
      <alignment horizontal="center" vertical="center"/>
      <protection hidden="1"/>
    </xf>
    <xf numFmtId="1" fontId="224" fillId="75" borderId="55" xfId="0" applyNumberFormat="1" applyFont="1" applyFill="1" applyBorder="1" applyAlignment="1" applyProtection="1">
      <alignment horizontal="center" vertical="center" wrapText="1"/>
      <protection hidden="1"/>
    </xf>
    <xf numFmtId="0" fontId="180" fillId="78" borderId="55" xfId="0" applyFont="1" applyFill="1" applyBorder="1" applyAlignment="1" applyProtection="1">
      <alignment horizontal="center" vertical="center"/>
      <protection hidden="1"/>
    </xf>
    <xf numFmtId="0" fontId="237" fillId="75" borderId="164" xfId="0" applyFont="1" applyFill="1" applyBorder="1" applyAlignment="1" applyProtection="1">
      <alignment horizontal="center" vertical="center" wrapText="1"/>
      <protection hidden="1"/>
    </xf>
    <xf numFmtId="0" fontId="238" fillId="75" borderId="164" xfId="0" applyFont="1" applyFill="1" applyBorder="1" applyAlignment="1" applyProtection="1">
      <alignment horizontal="center" vertical="center" wrapText="1"/>
      <protection hidden="1"/>
    </xf>
    <xf numFmtId="0" fontId="174" fillId="0" borderId="164" xfId="0" applyFont="1" applyBorder="1" applyAlignment="1" applyProtection="1">
      <alignment horizontal="center" vertical="center"/>
      <protection locked="0" hidden="1"/>
    </xf>
    <xf numFmtId="0" fontId="241" fillId="38" borderId="16" xfId="0" applyFont="1" applyFill="1" applyBorder="1"/>
    <xf numFmtId="0" fontId="240" fillId="38" borderId="16" xfId="0" applyFont="1" applyFill="1" applyBorder="1"/>
    <xf numFmtId="0" fontId="242" fillId="54" borderId="16" xfId="0" applyFont="1" applyFill="1" applyBorder="1" applyAlignment="1">
      <alignment horizontal="center"/>
    </xf>
    <xf numFmtId="0" fontId="245" fillId="0" borderId="0" xfId="0" applyFont="1"/>
    <xf numFmtId="0" fontId="249" fillId="0" borderId="0" xfId="0" applyFont="1" applyAlignment="1">
      <alignment vertical="center"/>
    </xf>
    <xf numFmtId="0" fontId="246" fillId="0" borderId="0" xfId="0" applyFont="1" applyAlignment="1">
      <alignment horizontal="left" vertical="center" wrapText="1"/>
    </xf>
    <xf numFmtId="0" fontId="245" fillId="0" borderId="0" xfId="0" applyFont="1" applyAlignment="1">
      <alignment horizontal="center"/>
    </xf>
    <xf numFmtId="0" fontId="251" fillId="0" borderId="267" xfId="0" applyFont="1" applyBorder="1" applyAlignment="1">
      <alignment horizontal="center" vertical="center"/>
    </xf>
    <xf numFmtId="0" fontId="252" fillId="0" borderId="267" xfId="0" applyFont="1" applyBorder="1" applyAlignment="1">
      <alignment horizontal="center" vertical="center"/>
    </xf>
    <xf numFmtId="0" fontId="251" fillId="0" borderId="0" xfId="0" applyFont="1" applyAlignment="1">
      <alignment horizontal="center" vertical="center"/>
    </xf>
    <xf numFmtId="0" fontId="245" fillId="95" borderId="227" xfId="0" applyFont="1" applyFill="1" applyBorder="1" applyAlignment="1">
      <alignment vertical="center"/>
    </xf>
    <xf numFmtId="0" fontId="245" fillId="95" borderId="236" xfId="0" applyFont="1" applyFill="1" applyBorder="1" applyAlignment="1">
      <alignment vertical="center"/>
    </xf>
    <xf numFmtId="0" fontId="253" fillId="95" borderId="236" xfId="0" applyFont="1" applyFill="1" applyBorder="1" applyAlignment="1">
      <alignment vertical="center"/>
    </xf>
    <xf numFmtId="0" fontId="255" fillId="18" borderId="0" xfId="0" applyFont="1" applyFill="1"/>
    <xf numFmtId="0" fontId="245" fillId="0" borderId="275" xfId="0" applyFont="1" applyBorder="1"/>
    <xf numFmtId="0" fontId="245" fillId="0" borderId="275" xfId="0" applyFont="1" applyBorder="1" applyAlignment="1">
      <alignment horizontal="center"/>
    </xf>
    <xf numFmtId="0" fontId="0" fillId="0" borderId="273" xfId="0" applyBorder="1"/>
    <xf numFmtId="0" fontId="255" fillId="18" borderId="275" xfId="0" applyFont="1" applyFill="1" applyBorder="1"/>
    <xf numFmtId="0" fontId="249" fillId="95" borderId="236" xfId="0" applyFont="1" applyFill="1" applyBorder="1" applyAlignment="1">
      <alignment horizontal="center"/>
    </xf>
    <xf numFmtId="0" fontId="0" fillId="9" borderId="0" xfId="0" applyFill="1" applyAlignment="1">
      <alignment horizontal="center"/>
    </xf>
    <xf numFmtId="0" fontId="246" fillId="0" borderId="0" xfId="0" applyFont="1" applyAlignment="1">
      <alignment horizontal="center" vertical="center" wrapText="1"/>
    </xf>
    <xf numFmtId="0" fontId="249" fillId="0" borderId="0" xfId="0" applyFont="1" applyAlignment="1">
      <alignment horizontal="center" vertical="center" wrapText="1"/>
    </xf>
    <xf numFmtId="0" fontId="44" fillId="0" borderId="0" xfId="0" applyFont="1" applyAlignment="1">
      <alignment vertical="center" wrapText="1"/>
    </xf>
    <xf numFmtId="0" fontId="262" fillId="0" borderId="0" xfId="0" applyFont="1" applyAlignment="1">
      <alignment vertical="center" wrapText="1"/>
    </xf>
    <xf numFmtId="0" fontId="209" fillId="0" borderId="0" xfId="0" applyFont="1" applyAlignment="1">
      <alignment vertical="center" wrapText="1"/>
    </xf>
    <xf numFmtId="0" fontId="8" fillId="14" borderId="13" xfId="0" applyFont="1" applyFill="1" applyBorder="1" applyAlignment="1" applyProtection="1">
      <alignment horizontal="center" vertical="center"/>
      <protection locked="0"/>
    </xf>
    <xf numFmtId="0" fontId="8" fillId="14" borderId="11" xfId="0" applyFont="1" applyFill="1" applyBorder="1" applyAlignment="1" applyProtection="1">
      <alignment horizontal="center" vertical="center"/>
      <protection locked="0"/>
    </xf>
    <xf numFmtId="0" fontId="102" fillId="0" borderId="74" xfId="2" applyFont="1" applyBorder="1" applyAlignment="1">
      <alignment vertical="center"/>
    </xf>
    <xf numFmtId="0" fontId="102" fillId="0" borderId="75" xfId="2" applyFont="1" applyBorder="1" applyAlignment="1">
      <alignment vertical="center"/>
    </xf>
    <xf numFmtId="0" fontId="11" fillId="0" borderId="4" xfId="2" applyFont="1" applyBorder="1" applyAlignment="1" applyProtection="1">
      <alignment horizontal="left" vertical="center"/>
      <protection locked="0"/>
    </xf>
    <xf numFmtId="2" fontId="14" fillId="0" borderId="0" xfId="2" applyNumberFormat="1" applyFont="1" applyAlignment="1" applyProtection="1">
      <alignment horizontal="right" vertical="center"/>
      <protection locked="0" hidden="1"/>
    </xf>
    <xf numFmtId="0" fontId="26" fillId="23" borderId="0" xfId="0" applyFont="1" applyFill="1" applyAlignment="1" applyProtection="1">
      <alignment horizontal="center"/>
      <protection hidden="1"/>
    </xf>
    <xf numFmtId="0" fontId="102" fillId="0" borderId="74" xfId="2" applyFont="1" applyBorder="1" applyAlignment="1">
      <alignment vertical="top"/>
    </xf>
    <xf numFmtId="0" fontId="102" fillId="0" borderId="75" xfId="2" applyFont="1" applyBorder="1" applyAlignment="1">
      <alignment vertical="top"/>
    </xf>
    <xf numFmtId="0" fontId="102" fillId="0" borderId="76" xfId="2" applyFont="1" applyBorder="1" applyAlignment="1">
      <alignment vertical="top"/>
    </xf>
    <xf numFmtId="0" fontId="11" fillId="0" borderId="33" xfId="2" applyFont="1" applyBorder="1" applyAlignment="1" applyProtection="1">
      <alignment vertical="top"/>
      <protection locked="0"/>
    </xf>
    <xf numFmtId="169" fontId="32" fillId="2" borderId="164" xfId="0" applyNumberFormat="1" applyFont="1" applyFill="1" applyBorder="1" applyAlignment="1" applyProtection="1">
      <alignment horizontal="center" vertical="center"/>
      <protection locked="0" hidden="1"/>
    </xf>
    <xf numFmtId="2" fontId="102" fillId="32" borderId="123" xfId="0" applyNumberFormat="1" applyFont="1" applyFill="1" applyBorder="1" applyAlignment="1" applyProtection="1">
      <alignment horizontal="center" vertical="center"/>
      <protection hidden="1"/>
    </xf>
    <xf numFmtId="2" fontId="217" fillId="18" borderId="123" xfId="0" applyNumberFormat="1" applyFont="1" applyFill="1" applyBorder="1" applyAlignment="1" applyProtection="1">
      <alignment horizontal="center" vertical="center"/>
      <protection hidden="1"/>
    </xf>
    <xf numFmtId="1" fontId="272" fillId="18" borderId="167" xfId="0" applyNumberFormat="1" applyFont="1" applyFill="1" applyBorder="1" applyAlignment="1" applyProtection="1">
      <alignment vertical="center"/>
      <protection locked="0" hidden="1"/>
    </xf>
    <xf numFmtId="1" fontId="273" fillId="19" borderId="56" xfId="0" applyNumberFormat="1" applyFont="1" applyFill="1" applyBorder="1" applyAlignment="1" applyProtection="1">
      <alignment vertical="center"/>
      <protection locked="0" hidden="1"/>
    </xf>
    <xf numFmtId="1" fontId="274" fillId="19" borderId="57" xfId="0" applyNumberFormat="1" applyFont="1" applyFill="1" applyBorder="1" applyAlignment="1" applyProtection="1">
      <alignment vertical="center"/>
      <protection locked="0" hidden="1"/>
    </xf>
    <xf numFmtId="0" fontId="0" fillId="0" borderId="153" xfId="0" applyBorder="1"/>
    <xf numFmtId="0" fontId="246" fillId="0" borderId="298" xfId="0" applyFont="1" applyBorder="1" applyAlignment="1">
      <alignment horizontal="center" vertical="center" wrapText="1"/>
    </xf>
    <xf numFmtId="0" fontId="266" fillId="0" borderId="298" xfId="0" applyFont="1" applyBorder="1" applyAlignment="1">
      <alignment horizontal="right" vertical="center" wrapText="1"/>
    </xf>
    <xf numFmtId="0" fontId="262" fillId="0" borderId="164" xfId="0" applyFont="1" applyBorder="1" applyAlignment="1">
      <alignment vertical="center" wrapText="1"/>
    </xf>
    <xf numFmtId="0" fontId="262" fillId="0" borderId="164" xfId="0" applyFont="1" applyBorder="1" applyAlignment="1">
      <alignment horizontal="left" vertical="center" wrapText="1"/>
    </xf>
    <xf numFmtId="0" fontId="209" fillId="13" borderId="164" xfId="0" applyFont="1" applyFill="1" applyBorder="1" applyAlignment="1">
      <alignment horizontal="center" vertical="center" wrapText="1"/>
    </xf>
    <xf numFmtId="0" fontId="247" fillId="0" borderId="164" xfId="0" applyFont="1" applyBorder="1" applyAlignment="1">
      <alignment horizontal="center" vertical="center" wrapText="1"/>
    </xf>
    <xf numFmtId="0" fontId="246" fillId="0" borderId="164" xfId="0" applyFont="1" applyBorder="1" applyAlignment="1">
      <alignment horizontal="center" vertical="center" wrapText="1"/>
    </xf>
    <xf numFmtId="0" fontId="247" fillId="0" borderId="164" xfId="0" applyFont="1" applyBorder="1" applyAlignment="1">
      <alignment vertical="center" wrapText="1"/>
    </xf>
    <xf numFmtId="0" fontId="247" fillId="0" borderId="164" xfId="0" applyFont="1" applyBorder="1" applyAlignment="1" applyProtection="1">
      <alignment horizontal="center" vertical="center" wrapText="1"/>
      <protection locked="0"/>
    </xf>
    <xf numFmtId="49" fontId="247" fillId="0" borderId="164" xfId="0" applyNumberFormat="1" applyFont="1" applyBorder="1" applyAlignment="1" applyProtection="1">
      <alignment horizontal="center" vertical="center" wrapText="1"/>
      <protection locked="0"/>
    </xf>
    <xf numFmtId="49" fontId="247" fillId="13" borderId="164" xfId="0" applyNumberFormat="1" applyFont="1" applyFill="1" applyBorder="1" applyAlignment="1" applyProtection="1">
      <alignment horizontal="center" vertical="center" wrapText="1"/>
      <protection locked="0"/>
    </xf>
    <xf numFmtId="0" fontId="209" fillId="0" borderId="164" xfId="0" applyFont="1" applyBorder="1" applyAlignment="1" applyProtection="1">
      <alignment vertical="center" wrapText="1"/>
      <protection locked="0"/>
    </xf>
    <xf numFmtId="0" fontId="264" fillId="102" borderId="164" xfId="0" applyFont="1" applyFill="1" applyBorder="1" applyAlignment="1" applyProtection="1">
      <alignment horizontal="center" vertical="center" wrapText="1"/>
      <protection locked="0"/>
    </xf>
    <xf numFmtId="0" fontId="209" fillId="102" borderId="164" xfId="0" applyFont="1" applyFill="1" applyBorder="1" applyAlignment="1" applyProtection="1">
      <alignment horizontal="center" vertical="center" wrapText="1"/>
      <protection locked="0"/>
    </xf>
    <xf numFmtId="2" fontId="262" fillId="0" borderId="164" xfId="0" applyNumberFormat="1" applyFont="1" applyBorder="1" applyAlignment="1" applyProtection="1">
      <alignment horizontal="right" vertical="center" wrapText="1"/>
      <protection hidden="1"/>
    </xf>
    <xf numFmtId="2" fontId="246" fillId="0" borderId="0" xfId="0" applyNumberFormat="1" applyFont="1" applyAlignment="1" applyProtection="1">
      <alignment horizontal="left" vertical="center" wrapText="1"/>
      <protection hidden="1"/>
    </xf>
    <xf numFmtId="2" fontId="247" fillId="0" borderId="164" xfId="0" applyNumberFormat="1" applyFont="1" applyBorder="1" applyAlignment="1" applyProtection="1">
      <alignment horizontal="center" vertical="center" wrapText="1"/>
      <protection hidden="1"/>
    </xf>
    <xf numFmtId="0" fontId="247" fillId="13" borderId="164" xfId="0" applyFont="1" applyFill="1" applyBorder="1" applyAlignment="1" applyProtection="1">
      <alignment vertical="center" wrapText="1"/>
      <protection locked="0" hidden="1"/>
    </xf>
    <xf numFmtId="0" fontId="207" fillId="0" borderId="73" xfId="2" applyFont="1" applyBorder="1" applyAlignment="1">
      <alignment horizontal="center" vertical="center" wrapText="1"/>
    </xf>
    <xf numFmtId="169" fontId="16" fillId="0" borderId="73" xfId="2" applyNumberFormat="1" applyFont="1" applyBorder="1" applyAlignment="1" applyProtection="1">
      <alignment horizontal="center" vertical="center"/>
      <protection hidden="1"/>
    </xf>
    <xf numFmtId="169" fontId="16" fillId="0" borderId="73" xfId="2" applyNumberFormat="1" applyFont="1" applyBorder="1" applyAlignment="1" applyProtection="1">
      <alignment horizontal="center" vertical="center" wrapText="1"/>
      <protection hidden="1"/>
    </xf>
    <xf numFmtId="0" fontId="0" fillId="0" borderId="0" xfId="0" applyAlignment="1" applyProtection="1">
      <alignment horizontal="center" vertical="center"/>
      <protection locked="0"/>
    </xf>
    <xf numFmtId="0" fontId="285" fillId="75" borderId="164" xfId="0" applyFont="1" applyFill="1" applyBorder="1" applyAlignment="1" applyProtection="1">
      <alignment horizontal="center" vertical="center" wrapText="1"/>
      <protection hidden="1"/>
    </xf>
    <xf numFmtId="0" fontId="283" fillId="0" borderId="0" xfId="0" applyFont="1" applyAlignment="1">
      <alignment horizontal="center" vertical="center"/>
    </xf>
    <xf numFmtId="49" fontId="105" fillId="0" borderId="0" xfId="0" applyNumberFormat="1" applyFont="1" applyAlignment="1" applyProtection="1">
      <alignment horizontal="center" vertical="center" wrapText="1"/>
      <protection locked="0" hidden="1"/>
    </xf>
    <xf numFmtId="0" fontId="0" fillId="21" borderId="26" xfId="0" applyFill="1" applyBorder="1" applyProtection="1">
      <protection locked="0"/>
    </xf>
    <xf numFmtId="0" fontId="0" fillId="21" borderId="32" xfId="0" applyFill="1" applyBorder="1" applyProtection="1">
      <protection locked="0"/>
    </xf>
    <xf numFmtId="0" fontId="56" fillId="14" borderId="73" xfId="2" applyFont="1" applyFill="1" applyBorder="1" applyAlignment="1" applyProtection="1">
      <alignment horizontal="left" vertical="center"/>
      <protection hidden="1"/>
    </xf>
    <xf numFmtId="0" fontId="185" fillId="0" borderId="73" xfId="2" applyFont="1" applyBorder="1" applyAlignment="1">
      <alignment horizontal="center" vertical="center" wrapText="1"/>
    </xf>
    <xf numFmtId="0" fontId="0" fillId="9" borderId="4" xfId="0" applyFill="1" applyBorder="1" applyAlignment="1">
      <alignment horizontal="center"/>
    </xf>
    <xf numFmtId="0" fontId="251" fillId="0" borderId="299" xfId="0" applyFont="1" applyBorder="1" applyAlignment="1">
      <alignment horizontal="center" vertical="center"/>
    </xf>
    <xf numFmtId="0" fontId="0" fillId="0" borderId="4" xfId="0" applyBorder="1"/>
    <xf numFmtId="0" fontId="251" fillId="0" borderId="4" xfId="0" applyFont="1" applyBorder="1" applyAlignment="1">
      <alignment horizontal="center" vertical="center"/>
    </xf>
    <xf numFmtId="0" fontId="251" fillId="99" borderId="4" xfId="0" applyFont="1" applyFill="1" applyBorder="1" applyAlignment="1">
      <alignment horizontal="center" vertical="center"/>
    </xf>
    <xf numFmtId="0" fontId="243" fillId="2" borderId="170" xfId="0" applyFont="1" applyFill="1" applyBorder="1" applyAlignment="1" applyProtection="1">
      <alignment vertical="center" wrapText="1"/>
      <protection locked="0" hidden="1"/>
    </xf>
    <xf numFmtId="0" fontId="43" fillId="108" borderId="4" xfId="0" applyFont="1" applyFill="1" applyBorder="1" applyAlignment="1" applyProtection="1">
      <alignment vertical="center"/>
      <protection locked="0"/>
    </xf>
    <xf numFmtId="0" fontId="43" fillId="108" borderId="4" xfId="0" applyFont="1" applyFill="1" applyBorder="1" applyAlignment="1" applyProtection="1">
      <alignment horizontal="center" vertical="center"/>
      <protection locked="0"/>
    </xf>
    <xf numFmtId="0" fontId="0" fillId="108" borderId="4" xfId="0" applyFill="1" applyBorder="1" applyProtection="1">
      <protection locked="0"/>
    </xf>
    <xf numFmtId="0" fontId="36" fillId="109" borderId="4" xfId="0" applyFont="1" applyFill="1" applyBorder="1" applyProtection="1">
      <protection locked="0"/>
    </xf>
    <xf numFmtId="0" fontId="0" fillId="14" borderId="0" xfId="0" applyFill="1"/>
    <xf numFmtId="2" fontId="60" fillId="14" borderId="4" xfId="0" applyNumberFormat="1" applyFont="1" applyFill="1" applyBorder="1" applyProtection="1">
      <protection locked="0"/>
    </xf>
    <xf numFmtId="0" fontId="179" fillId="69" borderId="131" xfId="0" applyFont="1" applyFill="1" applyBorder="1" applyAlignment="1">
      <alignment vertical="center"/>
    </xf>
    <xf numFmtId="0" fontId="179" fillId="69" borderId="132" xfId="0" applyFont="1" applyFill="1" applyBorder="1" applyAlignment="1">
      <alignment vertical="center"/>
    </xf>
    <xf numFmtId="0" fontId="64" fillId="71" borderId="300" xfId="0" applyFont="1" applyFill="1" applyBorder="1" applyAlignment="1">
      <alignment vertical="center"/>
    </xf>
    <xf numFmtId="0" fontId="208" fillId="110" borderId="4" xfId="0" applyFont="1" applyFill="1" applyBorder="1" applyAlignment="1">
      <alignment vertical="center"/>
    </xf>
    <xf numFmtId="2" fontId="95" fillId="110" borderId="4" xfId="0" applyNumberFormat="1" applyFont="1" applyFill="1" applyBorder="1" applyAlignment="1">
      <alignment vertical="center"/>
    </xf>
    <xf numFmtId="0" fontId="64" fillId="71" borderId="301" xfId="0" applyFont="1" applyFill="1" applyBorder="1" applyAlignment="1">
      <alignment vertical="center"/>
    </xf>
    <xf numFmtId="17" fontId="77" fillId="0" borderId="190" xfId="0" applyNumberFormat="1" applyFont="1" applyBorder="1" applyAlignment="1">
      <alignment horizontal="center" vertical="center"/>
    </xf>
    <xf numFmtId="0" fontId="247" fillId="14" borderId="71" xfId="0" applyFont="1" applyFill="1" applyBorder="1" applyAlignment="1">
      <alignment horizontal="center" vertical="top"/>
    </xf>
    <xf numFmtId="0" fontId="247" fillId="14" borderId="269" xfId="0" applyFont="1" applyFill="1" applyBorder="1" applyAlignment="1">
      <alignment horizontal="center" vertical="top"/>
    </xf>
    <xf numFmtId="0" fontId="247" fillId="14" borderId="72" xfId="0" applyFont="1" applyFill="1" applyBorder="1" applyAlignment="1">
      <alignment horizontal="center" vertical="top"/>
    </xf>
    <xf numFmtId="0" fontId="64" fillId="65" borderId="173" xfId="0" applyFont="1" applyFill="1" applyBorder="1" applyAlignment="1">
      <alignment vertical="center"/>
    </xf>
    <xf numFmtId="0" fontId="251" fillId="0" borderId="302" xfId="0" applyFont="1" applyBorder="1" applyAlignment="1">
      <alignment horizontal="center" vertical="center"/>
    </xf>
    <xf numFmtId="0" fontId="251" fillId="0" borderId="303" xfId="0" applyFont="1" applyBorder="1" applyAlignment="1">
      <alignment horizontal="center" vertical="center"/>
    </xf>
    <xf numFmtId="0" fontId="251" fillId="0" borderId="11" xfId="0" applyFont="1" applyBorder="1" applyAlignment="1">
      <alignment horizontal="center" vertical="center"/>
    </xf>
    <xf numFmtId="1" fontId="27" fillId="0" borderId="73" xfId="2" applyNumberFormat="1" applyFont="1" applyBorder="1" applyAlignment="1" applyProtection="1">
      <alignment vertical="center"/>
      <protection hidden="1"/>
    </xf>
    <xf numFmtId="2" fontId="0" fillId="0" borderId="0" xfId="0" applyNumberFormat="1"/>
    <xf numFmtId="2" fontId="13" fillId="0" borderId="73" xfId="1" applyNumberFormat="1" applyFont="1" applyBorder="1" applyAlignment="1">
      <alignment horizontal="center" vertical="center"/>
    </xf>
    <xf numFmtId="0" fontId="0" fillId="0" borderId="0" xfId="0" applyAlignment="1">
      <alignment vertical="center" wrapText="1"/>
    </xf>
    <xf numFmtId="0" fontId="271" fillId="0" borderId="126" xfId="2" applyFont="1" applyBorder="1" applyAlignment="1" applyProtection="1">
      <alignment vertical="center"/>
      <protection hidden="1"/>
    </xf>
    <xf numFmtId="0" fontId="210" fillId="2" borderId="0" xfId="0" applyFont="1" applyFill="1" applyAlignment="1">
      <alignment vertical="center"/>
    </xf>
    <xf numFmtId="0" fontId="0" fillId="34" borderId="0" xfId="0" applyFill="1" applyAlignment="1">
      <alignment horizontal="center"/>
    </xf>
    <xf numFmtId="0" fontId="50" fillId="40" borderId="0" xfId="0" applyFont="1" applyFill="1" applyAlignment="1">
      <alignment horizontal="center"/>
    </xf>
    <xf numFmtId="0" fontId="99" fillId="70" borderId="39" xfId="0" applyFont="1" applyFill="1" applyBorder="1" applyAlignment="1" applyProtection="1">
      <alignment horizontal="center" vertical="center"/>
      <protection hidden="1"/>
    </xf>
    <xf numFmtId="0" fontId="99" fillId="70" borderId="40" xfId="0" applyFont="1" applyFill="1" applyBorder="1" applyAlignment="1" applyProtection="1">
      <alignment horizontal="center" vertical="center"/>
      <protection hidden="1"/>
    </xf>
    <xf numFmtId="0" fontId="98" fillId="38" borderId="0" xfId="0" applyFont="1" applyFill="1" applyAlignment="1" applyProtection="1">
      <alignment horizontal="center"/>
      <protection hidden="1"/>
    </xf>
    <xf numFmtId="0" fontId="205" fillId="76" borderId="143" xfId="0" applyFont="1" applyFill="1" applyBorder="1" applyAlignment="1">
      <alignment horizontal="center" vertical="center"/>
    </xf>
    <xf numFmtId="0" fontId="0" fillId="76" borderId="145" xfId="0" applyFill="1" applyBorder="1" applyAlignment="1">
      <alignment horizontal="center" vertical="center"/>
    </xf>
    <xf numFmtId="0" fontId="212" fillId="75" borderId="209" xfId="0" applyFont="1" applyFill="1" applyBorder="1" applyAlignment="1" applyProtection="1">
      <alignment horizontal="center" vertical="center" wrapText="1"/>
      <protection hidden="1"/>
    </xf>
    <xf numFmtId="49" fontId="105" fillId="0" borderId="201" xfId="0" applyNumberFormat="1" applyFont="1" applyBorder="1" applyAlignment="1" applyProtection="1">
      <alignment horizontal="center" vertical="center" wrapText="1"/>
      <protection locked="0" hidden="1"/>
    </xf>
    <xf numFmtId="49" fontId="105" fillId="0" borderId="202" xfId="0" applyNumberFormat="1" applyFont="1" applyBorder="1" applyAlignment="1" applyProtection="1">
      <alignment horizontal="center" vertical="center" wrapText="1"/>
      <protection locked="0" hidden="1"/>
    </xf>
    <xf numFmtId="49" fontId="105" fillId="0" borderId="123" xfId="0" applyNumberFormat="1" applyFont="1" applyBorder="1" applyAlignment="1" applyProtection="1">
      <alignment horizontal="center" vertical="center" wrapText="1"/>
      <protection locked="0" hidden="1"/>
    </xf>
    <xf numFmtId="0" fontId="211" fillId="70" borderId="203" xfId="0" applyFont="1" applyFill="1" applyBorder="1" applyAlignment="1" applyProtection="1">
      <alignment horizontal="center" vertical="center"/>
      <protection hidden="1"/>
    </xf>
    <xf numFmtId="0" fontId="211" fillId="70" borderId="204" xfId="0" applyFont="1" applyFill="1" applyBorder="1" applyAlignment="1" applyProtection="1">
      <alignment horizontal="center" vertical="center"/>
      <protection hidden="1"/>
    </xf>
    <xf numFmtId="0" fontId="211" fillId="70" borderId="205" xfId="0" applyFont="1" applyFill="1" applyBorder="1" applyAlignment="1" applyProtection="1">
      <alignment horizontal="center" vertical="center"/>
      <protection hidden="1"/>
    </xf>
    <xf numFmtId="0" fontId="211" fillId="70" borderId="206" xfId="0" applyFont="1" applyFill="1" applyBorder="1" applyAlignment="1" applyProtection="1">
      <alignment horizontal="center" vertical="center"/>
      <protection hidden="1"/>
    </xf>
    <xf numFmtId="0" fontId="211" fillId="70" borderId="207" xfId="0" applyFont="1" applyFill="1" applyBorder="1" applyAlignment="1" applyProtection="1">
      <alignment horizontal="center" vertical="center"/>
      <protection hidden="1"/>
    </xf>
    <xf numFmtId="0" fontId="211" fillId="70" borderId="208" xfId="0" applyFont="1" applyFill="1" applyBorder="1" applyAlignment="1" applyProtection="1">
      <alignment horizontal="center" vertical="center"/>
      <protection hidden="1"/>
    </xf>
    <xf numFmtId="0" fontId="0" fillId="43" borderId="219" xfId="0" applyFill="1" applyBorder="1" applyAlignment="1" applyProtection="1">
      <alignment horizontal="center"/>
      <protection hidden="1"/>
    </xf>
    <xf numFmtId="0" fontId="0" fillId="43" borderId="220" xfId="0" applyFill="1" applyBorder="1" applyAlignment="1" applyProtection="1">
      <alignment horizontal="center"/>
      <protection hidden="1"/>
    </xf>
    <xf numFmtId="0" fontId="0" fillId="43" borderId="221" xfId="0" applyFill="1" applyBorder="1" applyAlignment="1" applyProtection="1">
      <alignment horizontal="center"/>
      <protection hidden="1"/>
    </xf>
    <xf numFmtId="0" fontId="212" fillId="75" borderId="166" xfId="0" applyFont="1" applyFill="1" applyBorder="1" applyAlignment="1" applyProtection="1">
      <alignment horizontal="center" vertical="center" wrapText="1"/>
      <protection hidden="1"/>
    </xf>
    <xf numFmtId="0" fontId="212" fillId="75" borderId="169" xfId="0" applyFont="1" applyFill="1" applyBorder="1" applyAlignment="1" applyProtection="1">
      <alignment horizontal="center" vertical="center" wrapText="1"/>
      <protection hidden="1"/>
    </xf>
    <xf numFmtId="0" fontId="0" fillId="14" borderId="146" xfId="0" applyFill="1" applyBorder="1" applyAlignment="1" applyProtection="1">
      <alignment horizontal="center"/>
      <protection hidden="1"/>
    </xf>
    <xf numFmtId="0" fontId="0" fillId="14" borderId="147" xfId="0" applyFill="1" applyBorder="1" applyAlignment="1" applyProtection="1">
      <alignment horizontal="center"/>
      <protection hidden="1"/>
    </xf>
    <xf numFmtId="0" fontId="0" fillId="14" borderId="148" xfId="0" applyFill="1" applyBorder="1" applyAlignment="1" applyProtection="1">
      <alignment horizontal="center"/>
      <protection hidden="1"/>
    </xf>
    <xf numFmtId="0" fontId="0" fillId="14" borderId="152" xfId="0" applyFill="1" applyBorder="1" applyAlignment="1" applyProtection="1">
      <alignment horizontal="center"/>
      <protection hidden="1"/>
    </xf>
    <xf numFmtId="0" fontId="0" fillId="14" borderId="0" xfId="0" applyFill="1" applyAlignment="1" applyProtection="1">
      <alignment horizontal="center"/>
      <protection hidden="1"/>
    </xf>
    <xf numFmtId="0" fontId="0" fillId="14" borderId="153" xfId="0" applyFill="1" applyBorder="1" applyAlignment="1" applyProtection="1">
      <alignment horizontal="center"/>
      <protection hidden="1"/>
    </xf>
    <xf numFmtId="0" fontId="0" fillId="14" borderId="149" xfId="0" applyFill="1" applyBorder="1" applyAlignment="1" applyProtection="1">
      <alignment horizontal="center"/>
      <protection hidden="1"/>
    </xf>
    <xf numFmtId="0" fontId="0" fillId="14" borderId="150" xfId="0" applyFill="1" applyBorder="1" applyAlignment="1" applyProtection="1">
      <alignment horizontal="center"/>
      <protection hidden="1"/>
    </xf>
    <xf numFmtId="0" fontId="0" fillId="14" borderId="151" xfId="0" applyFill="1" applyBorder="1" applyAlignment="1" applyProtection="1">
      <alignment horizontal="center"/>
      <protection hidden="1"/>
    </xf>
    <xf numFmtId="0" fontId="8" fillId="14" borderId="3" xfId="0" applyFont="1" applyFill="1" applyBorder="1" applyAlignment="1" applyProtection="1">
      <alignment horizontal="center" vertical="center"/>
      <protection locked="0"/>
    </xf>
    <xf numFmtId="0" fontId="8" fillId="14" borderId="4" xfId="0" applyFont="1" applyFill="1" applyBorder="1" applyAlignment="1" applyProtection="1">
      <alignment horizontal="center" vertical="center"/>
      <protection locked="0"/>
    </xf>
    <xf numFmtId="0" fontId="8" fillId="14" borderId="13" xfId="0" applyFont="1" applyFill="1" applyBorder="1" applyAlignment="1" applyProtection="1">
      <alignment horizontal="center" vertical="center"/>
      <protection locked="0"/>
    </xf>
    <xf numFmtId="0" fontId="8" fillId="14" borderId="11" xfId="0" applyFont="1" applyFill="1" applyBorder="1" applyAlignment="1" applyProtection="1">
      <alignment horizontal="center" vertical="center"/>
      <protection locked="0"/>
    </xf>
    <xf numFmtId="0" fontId="8" fillId="9" borderId="6"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8" fillId="9" borderId="8" xfId="0" applyFont="1" applyFill="1" applyBorder="1" applyAlignment="1" applyProtection="1">
      <alignment horizontal="center" vertical="center"/>
      <protection locked="0"/>
    </xf>
    <xf numFmtId="0" fontId="228" fillId="75" borderId="55" xfId="0" applyFont="1" applyFill="1" applyBorder="1" applyAlignment="1" applyProtection="1">
      <alignment horizontal="center" vertical="center" wrapText="1"/>
      <protection hidden="1"/>
    </xf>
    <xf numFmtId="0" fontId="228" fillId="75" borderId="56" xfId="0" applyFont="1" applyFill="1" applyBorder="1" applyAlignment="1" applyProtection="1">
      <alignment horizontal="center" vertical="center" wrapText="1"/>
      <protection hidden="1"/>
    </xf>
    <xf numFmtId="0" fontId="228" fillId="75" borderId="57" xfId="0" applyFont="1" applyFill="1" applyBorder="1" applyAlignment="1" applyProtection="1">
      <alignment horizontal="center" vertical="center" wrapText="1"/>
      <protection hidden="1"/>
    </xf>
    <xf numFmtId="0" fontId="39" fillId="0" borderId="55" xfId="0" applyFont="1" applyBorder="1" applyAlignment="1" applyProtection="1">
      <alignment horizontal="center" vertical="center" wrapText="1"/>
      <protection locked="0" hidden="1"/>
    </xf>
    <xf numFmtId="0" fontId="39" fillId="0" borderId="57" xfId="0" applyFont="1" applyBorder="1" applyAlignment="1" applyProtection="1">
      <alignment horizontal="center" vertical="center" wrapText="1"/>
      <protection locked="0" hidden="1"/>
    </xf>
    <xf numFmtId="0" fontId="124" fillId="75" borderId="55" xfId="0" applyFont="1" applyFill="1" applyBorder="1" applyAlignment="1" applyProtection="1">
      <alignment horizontal="center" vertical="center" wrapText="1"/>
      <protection hidden="1"/>
    </xf>
    <xf numFmtId="0" fontId="124" fillId="75" borderId="56" xfId="0" applyFont="1" applyFill="1" applyBorder="1" applyAlignment="1" applyProtection="1">
      <alignment horizontal="center" vertical="center" wrapText="1"/>
      <protection hidden="1"/>
    </xf>
    <xf numFmtId="17" fontId="228" fillId="75" borderId="55" xfId="0" applyNumberFormat="1" applyFont="1" applyFill="1" applyBorder="1" applyAlignment="1" applyProtection="1">
      <alignment horizontal="center" vertical="center" wrapText="1"/>
      <protection hidden="1"/>
    </xf>
    <xf numFmtId="17" fontId="228" fillId="75" borderId="57" xfId="0" applyNumberFormat="1" applyFont="1" applyFill="1" applyBorder="1" applyAlignment="1" applyProtection="1">
      <alignment horizontal="center" vertical="center" wrapText="1"/>
      <protection hidden="1"/>
    </xf>
    <xf numFmtId="0" fontId="231" fillId="75" borderId="55" xfId="0" applyFont="1" applyFill="1" applyBorder="1" applyAlignment="1" applyProtection="1">
      <alignment horizontal="center" vertical="center" wrapText="1"/>
      <protection hidden="1"/>
    </xf>
    <xf numFmtId="0" fontId="231" fillId="75" borderId="56" xfId="0" applyFont="1" applyFill="1" applyBorder="1" applyAlignment="1" applyProtection="1">
      <alignment horizontal="center" vertical="center" wrapText="1"/>
      <protection hidden="1"/>
    </xf>
    <xf numFmtId="0" fontId="231" fillId="75" borderId="57" xfId="0" applyFont="1" applyFill="1" applyBorder="1" applyAlignment="1" applyProtection="1">
      <alignment horizontal="center" vertical="center" wrapText="1"/>
      <protection hidden="1"/>
    </xf>
    <xf numFmtId="0" fontId="233" fillId="37" borderId="55" xfId="0" applyFont="1" applyFill="1" applyBorder="1" applyAlignment="1">
      <alignment horizontal="center" vertical="center"/>
    </xf>
    <xf numFmtId="0" fontId="233" fillId="37" borderId="56" xfId="0" applyFont="1" applyFill="1" applyBorder="1" applyAlignment="1">
      <alignment horizontal="center" vertical="center"/>
    </xf>
    <xf numFmtId="0" fontId="233" fillId="37" borderId="57" xfId="0" applyFont="1" applyFill="1" applyBorder="1" applyAlignment="1">
      <alignment horizontal="center" vertical="center"/>
    </xf>
    <xf numFmtId="0" fontId="215" fillId="92" borderId="55" xfId="0" applyFont="1" applyFill="1" applyBorder="1" applyAlignment="1">
      <alignment horizontal="center" vertical="center"/>
    </xf>
    <xf numFmtId="0" fontId="215" fillId="92" borderId="57" xfId="0" applyFont="1" applyFill="1" applyBorder="1" applyAlignment="1">
      <alignment horizontal="center" vertical="center"/>
    </xf>
    <xf numFmtId="0" fontId="23" fillId="88" borderId="55" xfId="0" applyFont="1" applyFill="1" applyBorder="1" applyAlignment="1" applyProtection="1">
      <alignment horizontal="center" vertical="center"/>
      <protection locked="0"/>
    </xf>
    <xf numFmtId="0" fontId="23" fillId="88" borderId="56" xfId="0" applyFont="1" applyFill="1" applyBorder="1" applyAlignment="1" applyProtection="1">
      <alignment horizontal="center" vertical="center"/>
      <protection locked="0"/>
    </xf>
    <xf numFmtId="0" fontId="23" fillId="88" borderId="57" xfId="0" applyFont="1" applyFill="1" applyBorder="1" applyAlignment="1" applyProtection="1">
      <alignment horizontal="center" vertical="center"/>
      <protection locked="0"/>
    </xf>
    <xf numFmtId="0" fontId="0" fillId="0" borderId="179" xfId="0" applyBorder="1" applyAlignment="1">
      <alignment horizontal="center"/>
    </xf>
    <xf numFmtId="0" fontId="0" fillId="0" borderId="200" xfId="0" applyBorder="1" applyAlignment="1">
      <alignment horizontal="center"/>
    </xf>
    <xf numFmtId="0" fontId="234" fillId="75" borderId="55" xfId="0" applyFont="1" applyFill="1" applyBorder="1" applyAlignment="1" applyProtection="1">
      <alignment horizontal="center" vertical="center" wrapText="1"/>
      <protection hidden="1"/>
    </xf>
    <xf numFmtId="0" fontId="234" fillId="75" borderId="56" xfId="0" applyFont="1" applyFill="1" applyBorder="1" applyAlignment="1" applyProtection="1">
      <alignment horizontal="center" vertical="center" wrapText="1"/>
      <protection hidden="1"/>
    </xf>
    <xf numFmtId="0" fontId="234" fillId="75" borderId="57" xfId="0" applyFont="1" applyFill="1" applyBorder="1" applyAlignment="1" applyProtection="1">
      <alignment horizontal="center" vertical="center" wrapText="1"/>
      <protection hidden="1"/>
    </xf>
    <xf numFmtId="0" fontId="269" fillId="75" borderId="55" xfId="0" applyFont="1" applyFill="1" applyBorder="1" applyAlignment="1" applyProtection="1">
      <alignment horizontal="center" vertical="center" wrapText="1"/>
      <protection hidden="1"/>
    </xf>
    <xf numFmtId="0" fontId="269" fillId="75" borderId="56" xfId="0" applyFont="1" applyFill="1" applyBorder="1" applyAlignment="1" applyProtection="1">
      <alignment horizontal="center" vertical="center" wrapText="1"/>
      <protection hidden="1"/>
    </xf>
    <xf numFmtId="0" fontId="223" fillId="75" borderId="55" xfId="0" applyFont="1" applyFill="1" applyBorder="1" applyAlignment="1" applyProtection="1">
      <alignment horizontal="center" vertical="center" wrapText="1"/>
      <protection hidden="1"/>
    </xf>
    <xf numFmtId="0" fontId="223" fillId="75" borderId="56" xfId="0" applyFont="1" applyFill="1" applyBorder="1" applyAlignment="1" applyProtection="1">
      <alignment horizontal="center" vertical="center" wrapText="1"/>
      <protection hidden="1"/>
    </xf>
    <xf numFmtId="0" fontId="223" fillId="75" borderId="57" xfId="0" applyFont="1" applyFill="1" applyBorder="1" applyAlignment="1" applyProtection="1">
      <alignment horizontal="center" vertical="center" wrapText="1"/>
      <protection hidden="1"/>
    </xf>
    <xf numFmtId="0" fontId="234" fillId="75" borderId="55" xfId="0" applyFont="1" applyFill="1" applyBorder="1" applyAlignment="1" applyProtection="1">
      <alignment horizontal="center" vertical="top" wrapText="1"/>
      <protection hidden="1"/>
    </xf>
    <xf numFmtId="0" fontId="234" fillId="75" borderId="56" xfId="0" applyFont="1" applyFill="1" applyBorder="1" applyAlignment="1" applyProtection="1">
      <alignment horizontal="center" vertical="top" wrapText="1"/>
      <protection hidden="1"/>
    </xf>
    <xf numFmtId="0" fontId="234" fillId="75" borderId="57" xfId="0" applyFont="1" applyFill="1" applyBorder="1" applyAlignment="1" applyProtection="1">
      <alignment horizontal="center" vertical="top" wrapText="1"/>
      <protection hidden="1"/>
    </xf>
    <xf numFmtId="0" fontId="36" fillId="76" borderId="164" xfId="0" applyFont="1" applyFill="1" applyBorder="1" applyAlignment="1" applyProtection="1">
      <alignment horizontal="center" vertical="center"/>
      <protection locked="0" hidden="1"/>
    </xf>
    <xf numFmtId="0" fontId="137" fillId="75" borderId="55" xfId="0" applyFont="1" applyFill="1" applyBorder="1" applyAlignment="1" applyProtection="1">
      <alignment horizontal="center" vertical="center" wrapText="1"/>
      <protection hidden="1"/>
    </xf>
    <xf numFmtId="0" fontId="137" fillId="75" borderId="56" xfId="0" applyFont="1" applyFill="1" applyBorder="1" applyAlignment="1" applyProtection="1">
      <alignment horizontal="center" vertical="center" wrapText="1"/>
      <protection hidden="1"/>
    </xf>
    <xf numFmtId="0" fontId="137" fillId="75" borderId="57" xfId="0" applyFont="1" applyFill="1" applyBorder="1" applyAlignment="1" applyProtection="1">
      <alignment horizontal="center" vertical="center" wrapText="1"/>
      <protection hidden="1"/>
    </xf>
    <xf numFmtId="0" fontId="39" fillId="0" borderId="164" xfId="0" applyFont="1" applyBorder="1" applyAlignment="1" applyProtection="1">
      <alignment horizontal="center" vertical="center"/>
      <protection locked="0" hidden="1"/>
    </xf>
    <xf numFmtId="0" fontId="26" fillId="0" borderId="164" xfId="0" applyFont="1" applyBorder="1" applyProtection="1">
      <protection locked="0" hidden="1"/>
    </xf>
    <xf numFmtId="0" fontId="239" fillId="75" borderId="55" xfId="0" applyFont="1" applyFill="1" applyBorder="1" applyAlignment="1" applyProtection="1">
      <alignment horizontal="center" vertical="center" wrapText="1"/>
      <protection hidden="1"/>
    </xf>
    <xf numFmtId="0" fontId="239" fillId="75" borderId="56" xfId="0" applyFont="1" applyFill="1" applyBorder="1" applyAlignment="1" applyProtection="1">
      <alignment horizontal="center" vertical="center" wrapText="1"/>
      <protection hidden="1"/>
    </xf>
    <xf numFmtId="0" fontId="239" fillId="75" borderId="57" xfId="0" applyFont="1" applyFill="1" applyBorder="1" applyAlignment="1" applyProtection="1">
      <alignment horizontal="center" vertical="center" wrapText="1"/>
      <protection hidden="1"/>
    </xf>
    <xf numFmtId="0" fontId="35" fillId="89" borderId="164" xfId="0" applyFont="1" applyFill="1" applyBorder="1" applyAlignment="1" applyProtection="1">
      <alignment horizontal="center" vertical="center"/>
      <protection locked="0" hidden="1"/>
    </xf>
    <xf numFmtId="0" fontId="230" fillId="92" borderId="223" xfId="0" applyFont="1" applyFill="1" applyBorder="1" applyAlignment="1">
      <alignment horizontal="center" textRotation="90"/>
    </xf>
    <xf numFmtId="0" fontId="268" fillId="78" borderId="55" xfId="0" applyFont="1" applyFill="1" applyBorder="1" applyAlignment="1" applyProtection="1">
      <alignment horizontal="center" vertical="center" wrapText="1"/>
      <protection hidden="1"/>
    </xf>
    <xf numFmtId="0" fontId="268" fillId="78" borderId="57" xfId="0" applyFont="1" applyFill="1" applyBorder="1" applyAlignment="1" applyProtection="1">
      <alignment horizontal="center" vertical="center" wrapText="1"/>
      <protection hidden="1"/>
    </xf>
    <xf numFmtId="169" fontId="191" fillId="23" borderId="55" xfId="0" applyNumberFormat="1" applyFont="1" applyFill="1" applyBorder="1" applyAlignment="1" applyProtection="1">
      <alignment horizontal="center" vertical="center"/>
      <protection hidden="1"/>
    </xf>
    <xf numFmtId="0" fontId="191" fillId="23" borderId="57" xfId="0" applyFont="1" applyFill="1" applyBorder="1" applyAlignment="1" applyProtection="1">
      <alignment horizontal="center" vertical="center"/>
      <protection hidden="1"/>
    </xf>
    <xf numFmtId="0" fontId="180" fillId="93" borderId="55" xfId="0" applyFont="1" applyFill="1" applyBorder="1" applyAlignment="1" applyProtection="1">
      <alignment horizontal="center" vertical="center"/>
      <protection hidden="1"/>
    </xf>
    <xf numFmtId="0" fontId="180" fillId="93" borderId="57" xfId="0" applyFont="1" applyFill="1" applyBorder="1" applyAlignment="1" applyProtection="1">
      <alignment horizontal="center" vertical="center"/>
      <protection hidden="1"/>
    </xf>
    <xf numFmtId="0" fontId="191" fillId="23" borderId="55" xfId="0" applyFont="1" applyFill="1" applyBorder="1" applyAlignment="1" applyProtection="1">
      <alignment horizontal="center" vertical="center"/>
      <protection hidden="1"/>
    </xf>
    <xf numFmtId="169" fontId="32" fillId="2" borderId="164" xfId="0" applyNumberFormat="1" applyFont="1" applyFill="1" applyBorder="1" applyAlignment="1" applyProtection="1">
      <alignment horizontal="center"/>
      <protection locked="0" hidden="1"/>
    </xf>
    <xf numFmtId="2" fontId="89" fillId="19" borderId="164" xfId="0" applyNumberFormat="1" applyFont="1" applyFill="1" applyBorder="1" applyAlignment="1" applyProtection="1">
      <alignment horizontal="center" vertical="center"/>
      <protection hidden="1"/>
    </xf>
    <xf numFmtId="2" fontId="89" fillId="18" borderId="164" xfId="0" applyNumberFormat="1" applyFont="1" applyFill="1" applyBorder="1" applyAlignment="1" applyProtection="1">
      <alignment horizontal="center" vertical="center"/>
      <protection hidden="1"/>
    </xf>
    <xf numFmtId="0" fontId="63" fillId="59" borderId="0" xfId="0" applyFont="1" applyFill="1" applyAlignment="1" applyProtection="1">
      <alignment horizontal="center" vertical="center"/>
      <protection hidden="1"/>
    </xf>
    <xf numFmtId="0" fontId="180" fillId="78" borderId="164" xfId="0" applyFont="1" applyFill="1" applyBorder="1" applyAlignment="1" applyProtection="1">
      <alignment horizontal="center" vertical="center"/>
      <protection hidden="1"/>
    </xf>
    <xf numFmtId="0" fontId="191" fillId="0" borderId="164" xfId="0" applyFont="1" applyBorder="1" applyAlignment="1" applyProtection="1">
      <alignment horizontal="center" vertical="center"/>
      <protection locked="0"/>
    </xf>
    <xf numFmtId="0" fontId="286" fillId="9" borderId="180" xfId="0" applyFont="1" applyFill="1" applyBorder="1" applyAlignment="1">
      <alignment horizontal="center"/>
    </xf>
    <xf numFmtId="0" fontId="286" fillId="9" borderId="181" xfId="0" applyFont="1" applyFill="1" applyBorder="1" applyAlignment="1">
      <alignment horizontal="center"/>
    </xf>
    <xf numFmtId="0" fontId="286" fillId="9" borderId="182" xfId="0" applyFont="1" applyFill="1" applyBorder="1" applyAlignment="1">
      <alignment horizontal="center"/>
    </xf>
    <xf numFmtId="0" fontId="235" fillId="75" borderId="55" xfId="0" applyFont="1" applyFill="1" applyBorder="1" applyAlignment="1" applyProtection="1">
      <alignment horizontal="center" vertical="center" wrapText="1"/>
      <protection hidden="1"/>
    </xf>
    <xf numFmtId="0" fontId="235" fillId="75" borderId="56" xfId="0" applyFont="1" applyFill="1" applyBorder="1" applyAlignment="1" applyProtection="1">
      <alignment horizontal="center" vertical="center" wrapText="1"/>
      <protection hidden="1"/>
    </xf>
    <xf numFmtId="0" fontId="235" fillId="75" borderId="57" xfId="0" applyFont="1" applyFill="1" applyBorder="1" applyAlignment="1" applyProtection="1">
      <alignment horizontal="center" vertical="center" wrapText="1"/>
      <protection hidden="1"/>
    </xf>
    <xf numFmtId="0" fontId="287" fillId="107" borderId="166" xfId="0" applyFont="1" applyFill="1" applyBorder="1" applyAlignment="1" applyProtection="1">
      <alignment horizontal="center" vertical="center" wrapText="1"/>
      <protection hidden="1"/>
    </xf>
    <xf numFmtId="0" fontId="287" fillId="107" borderId="169" xfId="0" applyFont="1" applyFill="1" applyBorder="1" applyAlignment="1" applyProtection="1">
      <alignment horizontal="center" vertical="center" wrapText="1"/>
      <protection hidden="1"/>
    </xf>
    <xf numFmtId="0" fontId="287" fillId="107" borderId="167" xfId="0" applyFont="1" applyFill="1" applyBorder="1" applyAlignment="1" applyProtection="1">
      <alignment horizontal="center" vertical="center" wrapText="1"/>
      <protection hidden="1"/>
    </xf>
    <xf numFmtId="0" fontId="229" fillId="75" borderId="55" xfId="0" applyFont="1" applyFill="1" applyBorder="1" applyAlignment="1" applyProtection="1">
      <alignment horizontal="center" vertical="center" wrapText="1"/>
      <protection hidden="1"/>
    </xf>
    <xf numFmtId="0" fontId="229" fillId="75" borderId="56" xfId="0" applyFont="1" applyFill="1" applyBorder="1" applyAlignment="1" applyProtection="1">
      <alignment horizontal="center" vertical="center" wrapText="1"/>
      <protection hidden="1"/>
    </xf>
    <xf numFmtId="0" fontId="229" fillId="75" borderId="57" xfId="0" applyFont="1" applyFill="1" applyBorder="1" applyAlignment="1" applyProtection="1">
      <alignment horizontal="center" vertical="center" wrapText="1"/>
      <protection hidden="1"/>
    </xf>
    <xf numFmtId="169" fontId="32" fillId="2" borderId="55" xfId="0" applyNumberFormat="1" applyFont="1" applyFill="1" applyBorder="1" applyAlignment="1" applyProtection="1">
      <alignment horizontal="center" vertical="center"/>
      <protection locked="0" hidden="1"/>
    </xf>
    <xf numFmtId="169" fontId="32" fillId="2" borderId="57" xfId="0" applyNumberFormat="1" applyFont="1" applyFill="1" applyBorder="1" applyAlignment="1" applyProtection="1">
      <alignment horizontal="center" vertical="center"/>
      <protection locked="0" hidden="1"/>
    </xf>
    <xf numFmtId="0" fontId="26" fillId="23" borderId="164" xfId="0" applyFont="1" applyFill="1" applyBorder="1" applyAlignment="1" applyProtection="1">
      <alignment horizontal="center"/>
      <protection hidden="1"/>
    </xf>
    <xf numFmtId="2" fontId="102" fillId="2" borderId="123" xfId="0" applyNumberFormat="1" applyFont="1" applyFill="1" applyBorder="1" applyAlignment="1" applyProtection="1">
      <alignment horizontal="center" vertical="center"/>
      <protection locked="0" hidden="1"/>
    </xf>
    <xf numFmtId="0" fontId="182" fillId="80" borderId="158" xfId="0" applyFont="1" applyFill="1" applyBorder="1" applyAlignment="1" applyProtection="1">
      <alignment horizontal="center" vertical="center" wrapText="1"/>
      <protection hidden="1"/>
    </xf>
    <xf numFmtId="0" fontId="182" fillId="80" borderId="159" xfId="0" applyFont="1" applyFill="1" applyBorder="1" applyAlignment="1" applyProtection="1">
      <alignment horizontal="center" vertical="center" wrapText="1"/>
      <protection hidden="1"/>
    </xf>
    <xf numFmtId="0" fontId="182" fillId="80" borderId="161" xfId="0" applyFont="1" applyFill="1" applyBorder="1" applyAlignment="1" applyProtection="1">
      <alignment horizontal="center" vertical="center" wrapText="1"/>
      <protection hidden="1"/>
    </xf>
    <xf numFmtId="0" fontId="182" fillId="80" borderId="162" xfId="0" applyFont="1" applyFill="1" applyBorder="1" applyAlignment="1" applyProtection="1">
      <alignment horizontal="center" vertical="center" wrapText="1"/>
      <protection hidden="1"/>
    </xf>
    <xf numFmtId="2" fontId="224" fillId="75" borderId="55" xfId="0" applyNumberFormat="1" applyFont="1" applyFill="1" applyBorder="1" applyAlignment="1" applyProtection="1">
      <alignment horizontal="center" vertical="center" wrapText="1"/>
      <protection hidden="1"/>
    </xf>
    <xf numFmtId="2" fontId="224" fillId="75" borderId="57" xfId="0" applyNumberFormat="1" applyFont="1" applyFill="1" applyBorder="1" applyAlignment="1" applyProtection="1">
      <alignment horizontal="center" vertical="center" wrapText="1"/>
      <protection hidden="1"/>
    </xf>
    <xf numFmtId="0" fontId="224" fillId="75" borderId="55" xfId="0" applyFont="1" applyFill="1" applyBorder="1" applyAlignment="1" applyProtection="1">
      <alignment horizontal="center" vertical="center" wrapText="1"/>
      <protection hidden="1"/>
    </xf>
    <xf numFmtId="0" fontId="224" fillId="75" borderId="56" xfId="0" applyFont="1" applyFill="1" applyBorder="1" applyAlignment="1" applyProtection="1">
      <alignment horizontal="center" vertical="center" wrapText="1"/>
      <protection hidden="1"/>
    </xf>
    <xf numFmtId="0" fontId="224" fillId="75" borderId="57" xfId="0" applyFont="1" applyFill="1" applyBorder="1" applyAlignment="1" applyProtection="1">
      <alignment horizontal="center" vertical="center" wrapText="1"/>
      <protection hidden="1"/>
    </xf>
    <xf numFmtId="2" fontId="0" fillId="0" borderId="0" xfId="0" applyNumberFormat="1" applyAlignment="1" applyProtection="1">
      <alignment horizontal="center"/>
      <protection hidden="1"/>
    </xf>
    <xf numFmtId="0" fontId="192" fillId="78" borderId="159" xfId="0" applyFont="1" applyFill="1" applyBorder="1" applyAlignment="1" applyProtection="1">
      <alignment horizontal="center" vertical="center"/>
      <protection locked="0" hidden="1"/>
    </xf>
    <xf numFmtId="0" fontId="192" fillId="78" borderId="162" xfId="0" applyFont="1" applyFill="1" applyBorder="1" applyAlignment="1" applyProtection="1">
      <alignment horizontal="center" vertical="center"/>
      <protection locked="0" hidden="1"/>
    </xf>
    <xf numFmtId="0" fontId="213" fillId="75" borderId="55" xfId="0" applyFont="1" applyFill="1" applyBorder="1" applyAlignment="1" applyProtection="1">
      <alignment horizontal="center" vertical="center" wrapText="1"/>
      <protection hidden="1"/>
    </xf>
    <xf numFmtId="0" fontId="213" fillId="75" borderId="56" xfId="0" applyFont="1" applyFill="1" applyBorder="1" applyAlignment="1" applyProtection="1">
      <alignment horizontal="center" vertical="center" wrapText="1"/>
      <protection hidden="1"/>
    </xf>
    <xf numFmtId="0" fontId="213" fillId="75" borderId="57" xfId="0" applyFont="1" applyFill="1" applyBorder="1" applyAlignment="1" applyProtection="1">
      <alignment horizontal="center" vertical="center" wrapText="1"/>
      <protection hidden="1"/>
    </xf>
    <xf numFmtId="0" fontId="213" fillId="75" borderId="166" xfId="0" applyFont="1" applyFill="1" applyBorder="1" applyAlignment="1" applyProtection="1">
      <alignment horizontal="center" vertical="center" wrapText="1"/>
      <protection hidden="1"/>
    </xf>
    <xf numFmtId="0" fontId="213" fillId="75" borderId="169" xfId="0" applyFont="1" applyFill="1" applyBorder="1" applyAlignment="1" applyProtection="1">
      <alignment horizontal="center" vertical="center" wrapText="1"/>
      <protection hidden="1"/>
    </xf>
    <xf numFmtId="0" fontId="213" fillId="75" borderId="167" xfId="0" applyFont="1" applyFill="1" applyBorder="1" applyAlignment="1" applyProtection="1">
      <alignment horizontal="center" vertical="center" wrapText="1"/>
      <protection hidden="1"/>
    </xf>
    <xf numFmtId="169" fontId="32" fillId="2" borderId="169" xfId="0" applyNumberFormat="1" applyFont="1" applyFill="1" applyBorder="1" applyAlignment="1" applyProtection="1">
      <alignment horizontal="center" vertical="center"/>
      <protection locked="0" hidden="1"/>
    </xf>
    <xf numFmtId="2" fontId="102" fillId="19" borderId="55" xfId="0" applyNumberFormat="1" applyFont="1" applyFill="1" applyBorder="1" applyAlignment="1" applyProtection="1">
      <alignment horizontal="center" vertical="center"/>
      <protection hidden="1"/>
    </xf>
    <xf numFmtId="2" fontId="102" fillId="19" borderId="56" xfId="0" applyNumberFormat="1" applyFont="1" applyFill="1" applyBorder="1" applyAlignment="1" applyProtection="1">
      <alignment horizontal="center" vertical="center"/>
      <protection hidden="1"/>
    </xf>
    <xf numFmtId="2" fontId="102" fillId="19" borderId="287" xfId="0" applyNumberFormat="1" applyFont="1" applyFill="1" applyBorder="1" applyAlignment="1" applyProtection="1">
      <alignment horizontal="center" vertical="center"/>
      <protection hidden="1"/>
    </xf>
    <xf numFmtId="0" fontId="26" fillId="23" borderId="55" xfId="0" applyFont="1" applyFill="1" applyBorder="1" applyAlignment="1" applyProtection="1">
      <alignment horizontal="center"/>
      <protection hidden="1"/>
    </xf>
    <xf numFmtId="2" fontId="102" fillId="100" borderId="284" xfId="0" applyNumberFormat="1" applyFont="1" applyFill="1" applyBorder="1" applyAlignment="1" applyProtection="1">
      <alignment horizontal="center" vertical="center"/>
      <protection hidden="1"/>
    </xf>
    <xf numFmtId="2" fontId="102" fillId="100" borderId="285" xfId="0" applyNumberFormat="1" applyFont="1" applyFill="1" applyBorder="1" applyAlignment="1" applyProtection="1">
      <alignment horizontal="center" vertical="center"/>
      <protection hidden="1"/>
    </xf>
    <xf numFmtId="2" fontId="102" fillId="100" borderId="286" xfId="0" applyNumberFormat="1" applyFont="1" applyFill="1" applyBorder="1" applyAlignment="1" applyProtection="1">
      <alignment horizontal="center" vertical="center"/>
      <protection hidden="1"/>
    </xf>
    <xf numFmtId="2" fontId="89" fillId="19" borderId="55" xfId="0" applyNumberFormat="1" applyFont="1" applyFill="1" applyBorder="1" applyAlignment="1" applyProtection="1">
      <alignment horizontal="center" vertical="center"/>
      <protection hidden="1"/>
    </xf>
    <xf numFmtId="2" fontId="89" fillId="19" borderId="56" xfId="0" applyNumberFormat="1" applyFont="1" applyFill="1" applyBorder="1" applyAlignment="1" applyProtection="1">
      <alignment horizontal="center" vertical="center"/>
      <protection hidden="1"/>
    </xf>
    <xf numFmtId="2" fontId="89" fillId="19" borderId="287" xfId="0" applyNumberFormat="1" applyFont="1" applyFill="1" applyBorder="1" applyAlignment="1" applyProtection="1">
      <alignment horizontal="center" vertical="center"/>
      <protection hidden="1"/>
    </xf>
    <xf numFmtId="2" fontId="102" fillId="100" borderId="291" xfId="0" applyNumberFormat="1" applyFont="1" applyFill="1" applyBorder="1" applyAlignment="1" applyProtection="1">
      <alignment horizontal="center" vertical="center"/>
      <protection hidden="1"/>
    </xf>
    <xf numFmtId="2" fontId="102" fillId="100" borderId="292" xfId="0" applyNumberFormat="1" applyFont="1" applyFill="1" applyBorder="1" applyAlignment="1" applyProtection="1">
      <alignment horizontal="center" vertical="center"/>
      <protection hidden="1"/>
    </xf>
    <xf numFmtId="2" fontId="102" fillId="100" borderId="293" xfId="0" applyNumberFormat="1" applyFont="1" applyFill="1" applyBorder="1" applyAlignment="1" applyProtection="1">
      <alignment horizontal="center" vertical="center"/>
      <protection hidden="1"/>
    </xf>
    <xf numFmtId="2" fontId="89" fillId="100" borderId="294" xfId="0" applyNumberFormat="1" applyFont="1" applyFill="1" applyBorder="1" applyAlignment="1" applyProtection="1">
      <alignment horizontal="center" vertical="center"/>
      <protection hidden="1"/>
    </xf>
    <xf numFmtId="2" fontId="89" fillId="100" borderId="295" xfId="0" applyNumberFormat="1" applyFont="1" applyFill="1" applyBorder="1" applyAlignment="1" applyProtection="1">
      <alignment horizontal="center" vertical="center"/>
      <protection hidden="1"/>
    </xf>
    <xf numFmtId="2" fontId="89" fillId="100" borderId="296" xfId="0" applyNumberFormat="1" applyFont="1" applyFill="1" applyBorder="1" applyAlignment="1" applyProtection="1">
      <alignment horizontal="center" vertical="center"/>
      <protection hidden="1"/>
    </xf>
    <xf numFmtId="0" fontId="224" fillId="75" borderId="166" xfId="0" applyFont="1" applyFill="1" applyBorder="1" applyAlignment="1" applyProtection="1">
      <alignment horizontal="center" vertical="center" wrapText="1"/>
      <protection hidden="1"/>
    </xf>
    <xf numFmtId="0" fontId="224" fillId="75" borderId="169" xfId="0" applyFont="1" applyFill="1" applyBorder="1" applyAlignment="1" applyProtection="1">
      <alignment horizontal="center" vertical="center" wrapText="1"/>
      <protection hidden="1"/>
    </xf>
    <xf numFmtId="0" fontId="224" fillId="75" borderId="167" xfId="0" applyFont="1" applyFill="1" applyBorder="1" applyAlignment="1" applyProtection="1">
      <alignment horizontal="center" vertical="center" wrapText="1"/>
      <protection hidden="1"/>
    </xf>
    <xf numFmtId="169" fontId="32" fillId="2" borderId="57" xfId="0" applyNumberFormat="1" applyFont="1" applyFill="1" applyBorder="1" applyAlignment="1" applyProtection="1">
      <alignment horizontal="center"/>
      <protection locked="0" hidden="1"/>
    </xf>
    <xf numFmtId="2" fontId="102" fillId="18" borderId="123" xfId="0" applyNumberFormat="1" applyFont="1" applyFill="1" applyBorder="1" applyAlignment="1" applyProtection="1">
      <alignment horizontal="center" vertical="center"/>
      <protection hidden="1"/>
    </xf>
    <xf numFmtId="169" fontId="32" fillId="17" borderId="164" xfId="0" applyNumberFormat="1" applyFont="1" applyFill="1" applyBorder="1" applyAlignment="1" applyProtection="1">
      <alignment horizontal="center"/>
      <protection hidden="1"/>
    </xf>
    <xf numFmtId="2" fontId="89" fillId="19" borderId="288" xfId="0" applyNumberFormat="1" applyFont="1" applyFill="1" applyBorder="1" applyAlignment="1" applyProtection="1">
      <alignment horizontal="center" vertical="center"/>
      <protection hidden="1"/>
    </xf>
    <xf numFmtId="2" fontId="89" fillId="19" borderId="289" xfId="0" applyNumberFormat="1" applyFont="1" applyFill="1" applyBorder="1" applyAlignment="1" applyProtection="1">
      <alignment horizontal="center" vertical="center"/>
      <protection hidden="1"/>
    </xf>
    <xf numFmtId="2" fontId="89" fillId="19" borderId="290" xfId="0" applyNumberFormat="1" applyFont="1" applyFill="1" applyBorder="1" applyAlignment="1" applyProtection="1">
      <alignment horizontal="center" vertical="center"/>
      <protection hidden="1"/>
    </xf>
    <xf numFmtId="2" fontId="102" fillId="100" borderId="25" xfId="0" applyNumberFormat="1" applyFont="1" applyFill="1" applyBorder="1" applyAlignment="1" applyProtection="1">
      <alignment horizontal="center" vertical="center"/>
      <protection hidden="1"/>
    </xf>
    <xf numFmtId="2" fontId="102" fillId="100" borderId="26" xfId="0" applyNumberFormat="1" applyFont="1" applyFill="1" applyBorder="1" applyAlignment="1" applyProtection="1">
      <alignment horizontal="center" vertical="center"/>
      <protection hidden="1"/>
    </xf>
    <xf numFmtId="2" fontId="102" fillId="100" borderId="32" xfId="0" applyNumberFormat="1" applyFont="1" applyFill="1" applyBorder="1" applyAlignment="1" applyProtection="1">
      <alignment horizontal="center" vertical="center"/>
      <protection hidden="1"/>
    </xf>
    <xf numFmtId="2" fontId="89" fillId="18" borderId="55" xfId="0" applyNumberFormat="1" applyFont="1" applyFill="1" applyBorder="1" applyAlignment="1" applyProtection="1">
      <alignment horizontal="center" vertical="center"/>
      <protection hidden="1"/>
    </xf>
    <xf numFmtId="2" fontId="89" fillId="18" borderId="56" xfId="0" applyNumberFormat="1" applyFont="1" applyFill="1" applyBorder="1" applyAlignment="1" applyProtection="1">
      <alignment horizontal="center" vertical="center"/>
      <protection hidden="1"/>
    </xf>
    <xf numFmtId="2" fontId="89" fillId="18" borderId="166" xfId="0" applyNumberFormat="1" applyFont="1" applyFill="1" applyBorder="1" applyAlignment="1" applyProtection="1">
      <alignment horizontal="center" vertical="center"/>
      <protection hidden="1"/>
    </xf>
    <xf numFmtId="2" fontId="89" fillId="18" borderId="169" xfId="0" applyNumberFormat="1" applyFont="1" applyFill="1" applyBorder="1" applyAlignment="1" applyProtection="1">
      <alignment horizontal="center" vertical="center"/>
      <protection hidden="1"/>
    </xf>
    <xf numFmtId="0" fontId="180" fillId="2" borderId="170" xfId="0" applyFont="1" applyFill="1" applyBorder="1" applyAlignment="1">
      <alignment horizontal="center" vertical="center"/>
    </xf>
    <xf numFmtId="0" fontId="174" fillId="2" borderId="173" xfId="0" applyFont="1" applyFill="1" applyBorder="1" applyAlignment="1" applyProtection="1">
      <alignment horizontal="center" vertical="center"/>
      <protection hidden="1"/>
    </xf>
    <xf numFmtId="0" fontId="174" fillId="2" borderId="174" xfId="0" applyFont="1" applyFill="1" applyBorder="1" applyAlignment="1" applyProtection="1">
      <alignment horizontal="center" vertical="center"/>
      <protection hidden="1"/>
    </xf>
    <xf numFmtId="0" fontId="174" fillId="2" borderId="175" xfId="0" applyFont="1" applyFill="1" applyBorder="1" applyAlignment="1" applyProtection="1">
      <alignment horizontal="center" vertical="center"/>
      <protection hidden="1"/>
    </xf>
    <xf numFmtId="0" fontId="203" fillId="65" borderId="170" xfId="0" applyFont="1" applyFill="1" applyBorder="1" applyAlignment="1" applyProtection="1">
      <alignment horizontal="center" vertical="center"/>
      <protection hidden="1"/>
    </xf>
    <xf numFmtId="0" fontId="181" fillId="2" borderId="170" xfId="0" applyFont="1" applyFill="1" applyBorder="1" applyAlignment="1">
      <alignment horizontal="center" vertical="center"/>
    </xf>
    <xf numFmtId="0" fontId="64" fillId="65" borderId="170" xfId="0" applyFont="1" applyFill="1" applyBorder="1" applyAlignment="1">
      <alignment horizontal="center" vertical="center"/>
    </xf>
    <xf numFmtId="9" fontId="181" fillId="2" borderId="170" xfId="0" applyNumberFormat="1" applyFont="1" applyFill="1" applyBorder="1" applyAlignment="1" applyProtection="1">
      <alignment horizontal="center" vertical="center"/>
      <protection hidden="1"/>
    </xf>
    <xf numFmtId="0" fontId="159" fillId="54" borderId="0" xfId="0" applyFont="1" applyFill="1" applyAlignment="1">
      <alignment horizontal="center" vertical="center" wrapText="1"/>
    </xf>
    <xf numFmtId="0" fontId="171" fillId="54" borderId="16" xfId="0" applyFont="1" applyFill="1" applyBorder="1" applyAlignment="1">
      <alignment horizontal="center" vertical="center" wrapText="1"/>
    </xf>
    <xf numFmtId="0" fontId="200" fillId="65" borderId="171" xfId="0" applyFont="1" applyFill="1" applyBorder="1" applyAlignment="1" applyProtection="1">
      <alignment horizontal="center" vertical="center" wrapText="1"/>
      <protection hidden="1"/>
    </xf>
    <xf numFmtId="0" fontId="200" fillId="65" borderId="19" xfId="0" applyFont="1" applyFill="1" applyBorder="1" applyAlignment="1" applyProtection="1">
      <alignment horizontal="center" vertical="center" wrapText="1"/>
      <protection hidden="1"/>
    </xf>
    <xf numFmtId="0" fontId="200" fillId="65" borderId="172" xfId="0" applyFont="1" applyFill="1" applyBorder="1" applyAlignment="1" applyProtection="1">
      <alignment horizontal="center" vertical="center" wrapText="1"/>
      <protection hidden="1"/>
    </xf>
    <xf numFmtId="0" fontId="199" fillId="65" borderId="170" xfId="0" applyFont="1" applyFill="1" applyBorder="1" applyAlignment="1">
      <alignment horizontal="center" vertical="center" wrapText="1"/>
    </xf>
    <xf numFmtId="0" fontId="64" fillId="65" borderId="170" xfId="0" applyFont="1" applyFill="1" applyBorder="1" applyAlignment="1">
      <alignment horizontal="left" vertical="center"/>
    </xf>
    <xf numFmtId="0" fontId="104" fillId="2" borderId="170" xfId="0" applyFont="1" applyFill="1" applyBorder="1" applyAlignment="1" applyProtection="1">
      <alignment horizontal="center" vertical="center"/>
      <protection hidden="1"/>
    </xf>
    <xf numFmtId="0" fontId="174" fillId="2" borderId="170" xfId="0" applyFont="1" applyFill="1" applyBorder="1" applyAlignment="1" applyProtection="1">
      <alignment horizontal="center" vertical="center"/>
      <protection hidden="1"/>
    </xf>
    <xf numFmtId="14" fontId="181" fillId="2" borderId="170" xfId="0" applyNumberFormat="1" applyFont="1" applyFill="1" applyBorder="1" applyAlignment="1" applyProtection="1">
      <alignment horizontal="center" vertical="center"/>
      <protection locked="0" hidden="1"/>
    </xf>
    <xf numFmtId="0" fontId="184" fillId="54" borderId="0" xfId="0" applyFont="1" applyFill="1" applyAlignment="1">
      <alignment horizontal="center" vertical="center" wrapText="1"/>
    </xf>
    <xf numFmtId="0" fontId="6" fillId="0" borderId="170" xfId="0" applyFont="1" applyBorder="1" applyAlignment="1">
      <alignment horizontal="center" vertical="center"/>
    </xf>
    <xf numFmtId="0" fontId="6" fillId="0" borderId="173" xfId="0" applyFont="1" applyBorder="1" applyAlignment="1" applyProtection="1">
      <alignment horizontal="center" vertical="center"/>
      <protection hidden="1"/>
    </xf>
    <xf numFmtId="0" fontId="6" fillId="0" borderId="174" xfId="0" applyFont="1" applyBorder="1" applyAlignment="1" applyProtection="1">
      <alignment horizontal="center" vertical="center"/>
      <protection hidden="1"/>
    </xf>
    <xf numFmtId="0" fontId="6" fillId="0" borderId="175" xfId="0" applyFont="1" applyBorder="1" applyAlignment="1" applyProtection="1">
      <alignment horizontal="center" vertical="center"/>
      <protection hidden="1"/>
    </xf>
    <xf numFmtId="49" fontId="3" fillId="0" borderId="0" xfId="0" applyNumberFormat="1" applyFont="1" applyAlignment="1" applyProtection="1">
      <alignment horizontal="center"/>
      <protection locked="0" hidden="1"/>
    </xf>
    <xf numFmtId="0" fontId="198" fillId="65" borderId="170"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4" fillId="0" borderId="0" xfId="0" applyFont="1" applyAlignment="1">
      <alignment horizontal="left"/>
    </xf>
    <xf numFmtId="0" fontId="141" fillId="56" borderId="170" xfId="0" applyFont="1" applyFill="1" applyBorder="1" applyAlignment="1">
      <alignment horizontal="center" wrapText="1"/>
    </xf>
    <xf numFmtId="0" fontId="141" fillId="56" borderId="170" xfId="0" applyFont="1" applyFill="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1" fillId="2" borderId="173" xfId="0" applyFont="1" applyFill="1" applyBorder="1" applyAlignment="1" applyProtection="1">
      <alignment horizontal="center" vertical="center"/>
      <protection hidden="1"/>
    </xf>
    <xf numFmtId="0" fontId="181" fillId="2" borderId="175" xfId="0" applyFont="1" applyFill="1" applyBorder="1" applyAlignment="1" applyProtection="1">
      <alignment horizontal="center" vertical="center"/>
      <protection hidden="1"/>
    </xf>
    <xf numFmtId="49" fontId="204" fillId="0" borderId="74" xfId="2" applyNumberFormat="1" applyFont="1" applyBorder="1" applyAlignment="1" applyProtection="1">
      <alignment horizontal="center" vertical="center"/>
      <protection hidden="1"/>
    </xf>
    <xf numFmtId="0" fontId="204" fillId="0" borderId="75" xfId="2" applyFont="1" applyBorder="1" applyAlignment="1" applyProtection="1">
      <alignment horizontal="center" vertical="center"/>
      <protection hidden="1"/>
    </xf>
    <xf numFmtId="0" fontId="204" fillId="0" borderId="76" xfId="2" applyFont="1" applyBorder="1" applyAlignment="1" applyProtection="1">
      <alignment horizontal="center" vertical="center"/>
      <protection hidden="1"/>
    </xf>
    <xf numFmtId="2" fontId="16" fillId="0" borderId="73" xfId="2" applyNumberFormat="1" applyFont="1" applyBorder="1" applyAlignment="1" applyProtection="1">
      <alignment horizontal="center" vertical="center"/>
      <protection hidden="1"/>
    </xf>
    <xf numFmtId="0" fontId="102" fillId="0" borderId="73" xfId="2" applyFont="1" applyBorder="1" applyAlignment="1">
      <alignment horizontal="left" vertical="center" wrapText="1"/>
    </xf>
    <xf numFmtId="0" fontId="270" fillId="0" borderId="74" xfId="2" applyFont="1" applyBorder="1" applyAlignment="1">
      <alignment horizontal="center" vertical="center"/>
    </xf>
    <xf numFmtId="0" fontId="270" fillId="0" borderId="75" xfId="2" applyFont="1" applyBorder="1" applyAlignment="1">
      <alignment horizontal="center" vertical="center"/>
    </xf>
    <xf numFmtId="0" fontId="270" fillId="0" borderId="76" xfId="2" applyFont="1" applyBorder="1" applyAlignment="1">
      <alignment horizontal="center" vertical="center"/>
    </xf>
    <xf numFmtId="0" fontId="102" fillId="0" borderId="73" xfId="2" applyFont="1" applyBorder="1" applyAlignment="1">
      <alignment horizontal="left" vertical="center"/>
    </xf>
    <xf numFmtId="0" fontId="89" fillId="0" borderId="73" xfId="2" applyFont="1" applyBorder="1" applyAlignment="1">
      <alignment horizontal="right" vertical="center"/>
    </xf>
    <xf numFmtId="0" fontId="102" fillId="0" borderId="73" xfId="2" applyFont="1" applyBorder="1" applyAlignment="1">
      <alignment horizontal="center" vertical="center"/>
    </xf>
    <xf numFmtId="0" fontId="89" fillId="0" borderId="73" xfId="2" applyFont="1" applyBorder="1" applyAlignment="1">
      <alignment horizontal="left" vertical="center"/>
    </xf>
    <xf numFmtId="0" fontId="11" fillId="3" borderId="73" xfId="2" applyFont="1" applyFill="1" applyBorder="1" applyAlignment="1">
      <alignment horizontal="center" vertical="center"/>
    </xf>
    <xf numFmtId="0" fontId="102" fillId="0" borderId="74" xfId="2" applyFont="1" applyBorder="1" applyAlignment="1">
      <alignment horizontal="center" vertical="center"/>
    </xf>
    <xf numFmtId="0" fontId="102" fillId="0" borderId="75" xfId="2" applyFont="1" applyBorder="1" applyAlignment="1">
      <alignment horizontal="center" vertical="center"/>
    </xf>
    <xf numFmtId="0" fontId="102" fillId="0" borderId="76" xfId="2" applyFont="1" applyBorder="1" applyAlignment="1">
      <alignment horizontal="center" vertical="center"/>
    </xf>
    <xf numFmtId="0" fontId="102" fillId="0" borderId="74" xfId="2" applyFont="1" applyBorder="1" applyAlignment="1">
      <alignment horizontal="center" vertical="top"/>
    </xf>
    <xf numFmtId="0" fontId="102" fillId="0" borderId="75" xfId="2" applyFont="1" applyBorder="1" applyAlignment="1">
      <alignment horizontal="center" vertical="top"/>
    </xf>
    <xf numFmtId="0" fontId="102" fillId="0" borderId="76" xfId="2" applyFont="1" applyBorder="1" applyAlignment="1">
      <alignment horizontal="center" vertical="top"/>
    </xf>
    <xf numFmtId="0" fontId="102" fillId="0" borderId="73" xfId="2" applyFont="1" applyBorder="1" applyAlignment="1">
      <alignment vertical="center"/>
    </xf>
    <xf numFmtId="0" fontId="102" fillId="0" borderId="73" xfId="2" applyFont="1" applyBorder="1" applyAlignment="1">
      <alignment horizontal="center" vertical="top"/>
    </xf>
    <xf numFmtId="0" fontId="0" fillId="38" borderId="18" xfId="0" applyFill="1" applyBorder="1" applyAlignment="1">
      <alignment horizontal="center"/>
    </xf>
    <xf numFmtId="0" fontId="0" fillId="38" borderId="19" xfId="0" applyFill="1" applyBorder="1" applyAlignment="1">
      <alignment horizontal="center"/>
    </xf>
    <xf numFmtId="0" fontId="0" fillId="38" borderId="20" xfId="0" applyFill="1" applyBorder="1" applyAlignment="1">
      <alignment horizontal="center"/>
    </xf>
    <xf numFmtId="0" fontId="174" fillId="72" borderId="0" xfId="0" applyFont="1" applyFill="1" applyAlignment="1" applyProtection="1">
      <alignment horizontal="center" vertical="center"/>
      <protection hidden="1"/>
    </xf>
    <xf numFmtId="0" fontId="174" fillId="72" borderId="138" xfId="0" applyFont="1" applyFill="1" applyBorder="1" applyAlignment="1" applyProtection="1">
      <alignment horizontal="center" vertical="center"/>
      <protection hidden="1"/>
    </xf>
    <xf numFmtId="0" fontId="174" fillId="72" borderId="131" xfId="0" applyFont="1" applyFill="1" applyBorder="1" applyAlignment="1" applyProtection="1">
      <alignment horizontal="center" vertical="center"/>
      <protection hidden="1"/>
    </xf>
    <xf numFmtId="0" fontId="174" fillId="72" borderId="132" xfId="0" applyFont="1" applyFill="1" applyBorder="1" applyAlignment="1" applyProtection="1">
      <alignment horizontal="center" vertical="center"/>
      <protection hidden="1"/>
    </xf>
    <xf numFmtId="49" fontId="61" fillId="14" borderId="47" xfId="0" applyNumberFormat="1" applyFont="1" applyFill="1" applyBorder="1" applyAlignment="1">
      <alignment horizontal="center" vertical="center"/>
    </xf>
    <xf numFmtId="49" fontId="61" fillId="14" borderId="48" xfId="0" applyNumberFormat="1" applyFont="1" applyFill="1" applyBorder="1" applyAlignment="1">
      <alignment horizontal="center" vertical="center"/>
    </xf>
    <xf numFmtId="2" fontId="61" fillId="14" borderId="47" xfId="0" applyNumberFormat="1" applyFont="1" applyFill="1" applyBorder="1" applyAlignment="1" applyProtection="1">
      <alignment horizontal="center" vertical="center"/>
      <protection hidden="1"/>
    </xf>
    <xf numFmtId="2" fontId="61" fillId="14" borderId="136" xfId="0" applyNumberFormat="1" applyFont="1" applyFill="1" applyBorder="1" applyAlignment="1" applyProtection="1">
      <alignment horizontal="center" vertical="center"/>
      <protection hidden="1"/>
    </xf>
    <xf numFmtId="2" fontId="61" fillId="14" borderId="48" xfId="0" applyNumberFormat="1" applyFont="1" applyFill="1" applyBorder="1" applyAlignment="1" applyProtection="1">
      <alignment horizontal="center" vertical="center"/>
      <protection hidden="1"/>
    </xf>
    <xf numFmtId="2" fontId="61" fillId="14" borderId="137" xfId="0" applyNumberFormat="1" applyFont="1" applyFill="1" applyBorder="1" applyAlignment="1" applyProtection="1">
      <alignment horizontal="center" vertical="center"/>
      <protection hidden="1"/>
    </xf>
    <xf numFmtId="0" fontId="64" fillId="76" borderId="127" xfId="2" applyFont="1" applyFill="1" applyBorder="1" applyAlignment="1" applyProtection="1">
      <alignment horizontal="center" vertical="center" wrapText="1"/>
      <protection hidden="1"/>
    </xf>
    <xf numFmtId="0" fontId="64" fillId="76" borderId="128" xfId="2" applyFont="1" applyFill="1" applyBorder="1" applyAlignment="1" applyProtection="1">
      <alignment horizontal="center" vertical="center" wrapText="1"/>
      <protection hidden="1"/>
    </xf>
    <xf numFmtId="0" fontId="106" fillId="0" borderId="73" xfId="2" applyFont="1" applyBorder="1" applyAlignment="1" applyProtection="1">
      <alignment horizontal="center" vertical="center"/>
      <protection hidden="1"/>
    </xf>
    <xf numFmtId="0" fontId="106" fillId="0" borderId="74" xfId="2" applyFont="1" applyBorder="1" applyAlignment="1" applyProtection="1">
      <alignment horizontal="center" vertical="center"/>
      <protection hidden="1"/>
    </xf>
    <xf numFmtId="0" fontId="174" fillId="14" borderId="32" xfId="0" applyFont="1" applyFill="1" applyBorder="1" applyAlignment="1">
      <alignment horizontal="center" vertical="center"/>
    </xf>
    <xf numFmtId="0" fontId="174" fillId="14" borderId="31" xfId="0" applyFont="1" applyFill="1" applyBorder="1" applyAlignment="1">
      <alignment horizontal="center" vertical="center"/>
    </xf>
    <xf numFmtId="49" fontId="204" fillId="0" borderId="125" xfId="2" applyNumberFormat="1" applyFont="1" applyBorder="1" applyAlignment="1" applyProtection="1">
      <alignment horizontal="center" vertical="center"/>
      <protection hidden="1"/>
    </xf>
    <xf numFmtId="0" fontId="204" fillId="0" borderId="125" xfId="2" applyFont="1" applyBorder="1" applyAlignment="1" applyProtection="1">
      <alignment horizontal="center" vertical="center"/>
      <protection hidden="1"/>
    </xf>
    <xf numFmtId="0" fontId="19" fillId="0" borderId="73" xfId="2" applyFont="1" applyBorder="1" applyAlignment="1">
      <alignment horizontal="center" vertical="center"/>
    </xf>
    <xf numFmtId="0" fontId="11" fillId="0" borderId="73" xfId="2" applyFont="1" applyBorder="1" applyAlignment="1">
      <alignment horizontal="center" vertical="center"/>
    </xf>
    <xf numFmtId="0" fontId="95" fillId="0" borderId="73" xfId="2" applyFont="1" applyBorder="1" applyAlignment="1">
      <alignment horizontal="center" vertical="center"/>
    </xf>
    <xf numFmtId="169" fontId="14" fillId="0" borderId="73" xfId="2" applyNumberFormat="1" applyFont="1" applyBorder="1" applyAlignment="1">
      <alignment horizontal="center" vertical="center"/>
    </xf>
    <xf numFmtId="0" fontId="102" fillId="0" borderId="155" xfId="2" applyFont="1" applyBorder="1" applyAlignment="1">
      <alignment horizontal="center" vertical="center" textRotation="90"/>
    </xf>
    <xf numFmtId="0" fontId="102" fillId="0" borderId="156" xfId="2" applyFont="1" applyBorder="1" applyAlignment="1">
      <alignment horizontal="center" vertical="center" textRotation="90"/>
    </xf>
    <xf numFmtId="0" fontId="102" fillId="0" borderId="155" xfId="2" applyFont="1" applyBorder="1" applyAlignment="1">
      <alignment horizontal="center" vertical="center"/>
    </xf>
    <xf numFmtId="0" fontId="102" fillId="0" borderId="156" xfId="2" applyFont="1" applyBorder="1" applyAlignment="1">
      <alignment horizontal="center" vertical="center"/>
    </xf>
    <xf numFmtId="0" fontId="19" fillId="0" borderId="73" xfId="2" applyFont="1" applyBorder="1" applyAlignment="1">
      <alignment horizontal="left" vertical="center"/>
    </xf>
    <xf numFmtId="49" fontId="204" fillId="0" borderId="74" xfId="3" applyNumberFormat="1" applyFont="1" applyBorder="1" applyAlignment="1" applyProtection="1">
      <alignment horizontal="center" vertical="center"/>
      <protection hidden="1"/>
    </xf>
    <xf numFmtId="0" fontId="204" fillId="0" borderId="75" xfId="3" applyFont="1" applyBorder="1" applyAlignment="1" applyProtection="1">
      <alignment horizontal="center" vertical="center"/>
      <protection hidden="1"/>
    </xf>
    <xf numFmtId="0" fontId="204" fillId="0" borderId="76" xfId="3" applyFont="1" applyBorder="1" applyAlignment="1" applyProtection="1">
      <alignment horizontal="center" vertical="center"/>
      <protection hidden="1"/>
    </xf>
    <xf numFmtId="2" fontId="14" fillId="0" borderId="74" xfId="2" applyNumberFormat="1" applyFont="1" applyBorder="1" applyAlignment="1" applyProtection="1">
      <alignment horizontal="center" vertical="center"/>
      <protection hidden="1"/>
    </xf>
    <xf numFmtId="2" fontId="14" fillId="0" borderId="76" xfId="2" applyNumberFormat="1" applyFont="1" applyBorder="1" applyAlignment="1" applyProtection="1">
      <alignment horizontal="center" vertical="center"/>
      <protection hidden="1"/>
    </xf>
    <xf numFmtId="0" fontId="58" fillId="20" borderId="73" xfId="2" applyFont="1" applyFill="1" applyBorder="1" applyAlignment="1">
      <alignment horizontal="center" vertical="center"/>
    </xf>
    <xf numFmtId="0" fontId="103" fillId="0" borderId="73" xfId="2" applyFont="1" applyBorder="1" applyAlignment="1">
      <alignment horizontal="left" vertical="center"/>
    </xf>
    <xf numFmtId="0" fontId="52" fillId="3" borderId="73" xfId="2" applyFont="1" applyFill="1" applyBorder="1" applyAlignment="1">
      <alignment horizontal="center" vertical="center"/>
    </xf>
    <xf numFmtId="0" fontId="13" fillId="3" borderId="73" xfId="2" applyFont="1" applyFill="1" applyBorder="1" applyAlignment="1">
      <alignment horizontal="center" vertical="center"/>
    </xf>
    <xf numFmtId="0" fontId="55" fillId="0" borderId="73" xfId="0" applyFont="1" applyBorder="1" applyAlignment="1">
      <alignment horizontal="center"/>
    </xf>
    <xf numFmtId="0" fontId="52" fillId="0" borderId="73" xfId="2" applyFont="1" applyBorder="1" applyAlignment="1">
      <alignment horizontal="center" vertical="center"/>
    </xf>
    <xf numFmtId="0" fontId="208" fillId="0" borderId="74" xfId="2" applyFont="1" applyBorder="1" applyAlignment="1">
      <alignment horizontal="center" vertical="center"/>
    </xf>
    <xf numFmtId="0" fontId="208" fillId="0" borderId="75" xfId="2" applyFont="1" applyBorder="1" applyAlignment="1">
      <alignment horizontal="center" vertical="center"/>
    </xf>
    <xf numFmtId="0" fontId="208" fillId="0" borderId="76" xfId="2" applyFont="1" applyBorder="1" applyAlignment="1">
      <alignment horizontal="center" vertical="center"/>
    </xf>
    <xf numFmtId="0" fontId="13" fillId="0" borderId="73" xfId="2" applyFont="1" applyBorder="1" applyAlignment="1">
      <alignment horizontal="center" vertical="center"/>
    </xf>
    <xf numFmtId="2" fontId="95" fillId="0" borderId="73" xfId="0" applyNumberFormat="1" applyFont="1" applyBorder="1" applyAlignment="1">
      <alignment horizontal="center" vertical="center"/>
    </xf>
    <xf numFmtId="2" fontId="102" fillId="0" borderId="73" xfId="0" applyNumberFormat="1" applyFont="1" applyBorder="1" applyAlignment="1">
      <alignment horizontal="left" vertical="center"/>
    </xf>
    <xf numFmtId="0" fontId="19" fillId="0" borderId="74" xfId="2" applyFont="1" applyBorder="1" applyAlignment="1">
      <alignment horizontal="center"/>
    </xf>
    <xf numFmtId="0" fontId="19" fillId="0" borderId="75" xfId="2" applyFont="1" applyBorder="1" applyAlignment="1">
      <alignment horizontal="center"/>
    </xf>
    <xf numFmtId="0" fontId="19" fillId="0" borderId="76" xfId="2" applyFont="1" applyBorder="1" applyAlignment="1">
      <alignment horizontal="center"/>
    </xf>
    <xf numFmtId="0" fontId="207" fillId="0" borderId="74" xfId="2" applyFont="1" applyBorder="1" applyAlignment="1">
      <alignment horizontal="center" vertical="center"/>
    </xf>
    <xf numFmtId="0" fontId="207" fillId="0" borderId="75" xfId="2" applyFont="1" applyBorder="1" applyAlignment="1">
      <alignment horizontal="center" vertical="center"/>
    </xf>
    <xf numFmtId="0" fontId="207" fillId="0" borderId="76" xfId="2" applyFont="1" applyBorder="1" applyAlignment="1">
      <alignment horizontal="center" vertical="center"/>
    </xf>
    <xf numFmtId="0" fontId="185" fillId="0" borderId="73" xfId="2" applyFont="1" applyBorder="1" applyAlignment="1">
      <alignment horizontal="center" vertical="center" wrapText="1"/>
    </xf>
    <xf numFmtId="169" fontId="16" fillId="0" borderId="73" xfId="2" applyNumberFormat="1" applyFont="1" applyBorder="1" applyAlignment="1" applyProtection="1">
      <alignment horizontal="center" vertical="center" wrapText="1"/>
      <protection hidden="1"/>
    </xf>
    <xf numFmtId="169" fontId="16" fillId="0" borderId="73" xfId="2" applyNumberFormat="1" applyFont="1" applyBorder="1" applyAlignment="1" applyProtection="1">
      <alignment horizontal="right" vertical="center" wrapText="1"/>
      <protection hidden="1"/>
    </xf>
    <xf numFmtId="0" fontId="34" fillId="0" borderId="73" xfId="2" applyFont="1" applyBorder="1" applyAlignment="1" applyProtection="1">
      <alignment horizontal="right" vertical="center"/>
      <protection hidden="1"/>
    </xf>
    <xf numFmtId="0" fontId="102" fillId="0" borderId="74" xfId="2" applyFont="1" applyBorder="1" applyAlignment="1">
      <alignment horizontal="right" vertical="top"/>
    </xf>
    <xf numFmtId="0" fontId="102" fillId="0" borderId="75" xfId="2" applyFont="1" applyBorder="1" applyAlignment="1">
      <alignment horizontal="right" vertical="top"/>
    </xf>
    <xf numFmtId="0" fontId="102" fillId="0" borderId="76" xfId="2" applyFont="1" applyBorder="1" applyAlignment="1">
      <alignment horizontal="right" vertical="top"/>
    </xf>
    <xf numFmtId="0" fontId="101" fillId="0" borderId="74" xfId="2" applyFont="1" applyBorder="1" applyAlignment="1">
      <alignment horizontal="right" vertical="center"/>
    </xf>
    <xf numFmtId="0" fontId="101" fillId="0" borderId="75" xfId="2" applyFont="1" applyBorder="1" applyAlignment="1">
      <alignment horizontal="right" vertical="center"/>
    </xf>
    <xf numFmtId="0" fontId="101" fillId="0" borderId="76" xfId="2" applyFont="1" applyBorder="1" applyAlignment="1">
      <alignment horizontal="right" vertical="center"/>
    </xf>
    <xf numFmtId="0" fontId="208" fillId="0" borderId="73" xfId="2" applyFont="1" applyBorder="1" applyAlignment="1">
      <alignment horizontal="center" vertical="center"/>
    </xf>
    <xf numFmtId="2" fontId="185" fillId="0" borderId="73" xfId="0" applyNumberFormat="1" applyFont="1" applyBorder="1" applyAlignment="1">
      <alignment horizontal="center" vertical="center"/>
    </xf>
    <xf numFmtId="0" fontId="102" fillId="0" borderId="74" xfId="2" applyFont="1" applyBorder="1" applyAlignment="1">
      <alignment horizontal="left" vertical="top"/>
    </xf>
    <xf numFmtId="0" fontId="102" fillId="0" borderId="75" xfId="2" applyFont="1" applyBorder="1" applyAlignment="1">
      <alignment horizontal="left" vertical="top"/>
    </xf>
    <xf numFmtId="0" fontId="102" fillId="0" borderId="76" xfId="2" applyFont="1" applyBorder="1" applyAlignment="1">
      <alignment horizontal="left" vertical="top"/>
    </xf>
    <xf numFmtId="0" fontId="101" fillId="0" borderId="73" xfId="2" applyFont="1" applyBorder="1" applyAlignment="1">
      <alignment horizontal="right" vertical="center"/>
    </xf>
    <xf numFmtId="0" fontId="102" fillId="0" borderId="157" xfId="2" applyFont="1" applyBorder="1" applyAlignment="1">
      <alignment horizontal="center" vertical="center"/>
    </xf>
    <xf numFmtId="0" fontId="45" fillId="0" borderId="73" xfId="2" applyFont="1" applyBorder="1" applyAlignment="1">
      <alignment horizontal="center" vertical="center"/>
    </xf>
    <xf numFmtId="0" fontId="102" fillId="0" borderId="73" xfId="2" applyFont="1" applyBorder="1" applyAlignment="1">
      <alignment horizontal="left" vertical="top" wrapText="1"/>
    </xf>
    <xf numFmtId="0" fontId="27" fillId="0" borderId="73" xfId="2" applyFont="1" applyBorder="1" applyAlignment="1">
      <alignment horizontal="right" vertical="center"/>
    </xf>
    <xf numFmtId="2" fontId="103" fillId="0" borderId="74" xfId="0" applyNumberFormat="1" applyFont="1" applyBorder="1" applyAlignment="1">
      <alignment horizontal="center" vertical="center" wrapText="1"/>
    </xf>
    <xf numFmtId="2" fontId="103" fillId="0" borderId="75" xfId="0" applyNumberFormat="1" applyFont="1" applyBorder="1" applyAlignment="1">
      <alignment horizontal="center" vertical="center" wrapText="1"/>
    </xf>
    <xf numFmtId="0" fontId="103" fillId="0" borderId="74" xfId="2" applyFont="1" applyBorder="1" applyAlignment="1">
      <alignment horizontal="center" vertical="center" wrapText="1"/>
    </xf>
    <xf numFmtId="0" fontId="103" fillId="0" borderId="75" xfId="2" applyFont="1" applyBorder="1" applyAlignment="1">
      <alignment horizontal="center" vertical="center" wrapText="1"/>
    </xf>
    <xf numFmtId="0" fontId="103" fillId="0" borderId="76" xfId="2" applyFont="1" applyBorder="1" applyAlignment="1">
      <alignment horizontal="center" vertical="center" wrapText="1"/>
    </xf>
    <xf numFmtId="0" fontId="179" fillId="69" borderId="129" xfId="0" applyFont="1" applyFill="1" applyBorder="1" applyAlignment="1">
      <alignment horizontal="center" vertical="center"/>
    </xf>
    <xf numFmtId="0" fontId="179" fillId="69" borderId="130" xfId="0" applyFont="1" applyFill="1" applyBorder="1" applyAlignment="1">
      <alignment horizontal="center" vertical="center"/>
    </xf>
    <xf numFmtId="0" fontId="179" fillId="69" borderId="0" xfId="0" applyFont="1" applyFill="1" applyAlignment="1">
      <alignment horizontal="center" vertical="center"/>
    </xf>
    <xf numFmtId="0" fontId="179" fillId="69" borderId="138" xfId="0" applyFont="1" applyFill="1" applyBorder="1" applyAlignment="1">
      <alignment horizontal="center" vertical="center"/>
    </xf>
    <xf numFmtId="0" fontId="190" fillId="73" borderId="139" xfId="0" applyFont="1" applyFill="1" applyBorder="1" applyAlignment="1" applyProtection="1">
      <alignment horizontal="center"/>
      <protection locked="0"/>
    </xf>
    <xf numFmtId="0" fontId="190" fillId="73" borderId="140" xfId="0" applyFont="1" applyFill="1" applyBorder="1" applyAlignment="1" applyProtection="1">
      <alignment horizontal="center"/>
      <protection locked="0"/>
    </xf>
    <xf numFmtId="0" fontId="190" fillId="73" borderId="141" xfId="0" applyFont="1" applyFill="1" applyBorder="1" applyAlignment="1" applyProtection="1">
      <alignment horizontal="center"/>
      <protection locked="0"/>
    </xf>
    <xf numFmtId="0" fontId="190" fillId="73" borderId="142" xfId="0" applyFont="1" applyFill="1" applyBorder="1" applyAlignment="1" applyProtection="1">
      <alignment horizontal="center"/>
      <protection locked="0"/>
    </xf>
    <xf numFmtId="0" fontId="101" fillId="0" borderId="74" xfId="2" applyFont="1" applyBorder="1" applyAlignment="1">
      <alignment horizontal="center" vertical="center"/>
    </xf>
    <xf numFmtId="0" fontId="101" fillId="0" borderId="75" xfId="2" applyFont="1" applyBorder="1" applyAlignment="1">
      <alignment horizontal="center" vertical="center"/>
    </xf>
    <xf numFmtId="0" fontId="101" fillId="0" borderId="76" xfId="2" applyFont="1" applyBorder="1" applyAlignment="1">
      <alignment horizontal="center" vertical="center"/>
    </xf>
    <xf numFmtId="0" fontId="103" fillId="0" borderId="74" xfId="2" applyFont="1" applyBorder="1" applyAlignment="1">
      <alignment horizontal="left" vertical="top"/>
    </xf>
    <xf numFmtId="0" fontId="103" fillId="0" borderId="75" xfId="2" applyFont="1" applyBorder="1" applyAlignment="1">
      <alignment horizontal="left" vertical="top"/>
    </xf>
    <xf numFmtId="0" fontId="103" fillId="0" borderId="76" xfId="2" applyFont="1" applyBorder="1" applyAlignment="1">
      <alignment horizontal="left" vertical="top"/>
    </xf>
    <xf numFmtId="0" fontId="95" fillId="0" borderId="74" xfId="2" applyFont="1" applyBorder="1" applyAlignment="1">
      <alignment horizontal="right" vertical="center"/>
    </xf>
    <xf numFmtId="0" fontId="95" fillId="0" borderId="75" xfId="2" applyFont="1" applyBorder="1" applyAlignment="1">
      <alignment horizontal="right" vertical="center"/>
    </xf>
    <xf numFmtId="0" fontId="95" fillId="0" borderId="76" xfId="2" applyFont="1" applyBorder="1" applyAlignment="1">
      <alignment horizontal="right" vertical="center"/>
    </xf>
    <xf numFmtId="0" fontId="40" fillId="0" borderId="0" xfId="0" applyFont="1" applyAlignment="1" applyProtection="1">
      <alignment horizontal="center"/>
      <protection locked="0"/>
    </xf>
    <xf numFmtId="0" fontId="0" fillId="17" borderId="25" xfId="0" applyFill="1" applyBorder="1" applyAlignment="1" applyProtection="1">
      <alignment horizontal="center"/>
      <protection locked="0"/>
    </xf>
    <xf numFmtId="0" fontId="0" fillId="17" borderId="32" xfId="0" applyFill="1" applyBorder="1" applyAlignment="1" applyProtection="1">
      <alignment horizontal="center"/>
      <protection locked="0"/>
    </xf>
    <xf numFmtId="0" fontId="0" fillId="21" borderId="25" xfId="0" applyFill="1" applyBorder="1" applyAlignment="1" applyProtection="1">
      <alignment horizontal="center"/>
      <protection locked="0"/>
    </xf>
    <xf numFmtId="0" fontId="0" fillId="21" borderId="26" xfId="0" applyFill="1" applyBorder="1" applyAlignment="1" applyProtection="1">
      <alignment horizontal="center"/>
      <protection locked="0"/>
    </xf>
    <xf numFmtId="0" fontId="2" fillId="14" borderId="0" xfId="0" applyFont="1" applyFill="1" applyAlignment="1" applyProtection="1">
      <alignment horizontal="center" wrapText="1"/>
      <protection locked="0"/>
    </xf>
    <xf numFmtId="2" fontId="11" fillId="0" borderId="25" xfId="0" applyNumberFormat="1" applyFont="1" applyBorder="1" applyAlignment="1" applyProtection="1">
      <alignment horizontal="left" vertical="center"/>
      <protection locked="0"/>
    </xf>
    <xf numFmtId="2" fontId="11" fillId="0" borderId="26" xfId="0" applyNumberFormat="1" applyFont="1" applyBorder="1" applyAlignment="1" applyProtection="1">
      <alignment horizontal="left" vertical="center"/>
      <protection locked="0"/>
    </xf>
    <xf numFmtId="2" fontId="11" fillId="0" borderId="32" xfId="0" applyNumberFormat="1" applyFont="1" applyBorder="1" applyAlignment="1" applyProtection="1">
      <alignment horizontal="left" vertical="center"/>
      <protection locked="0"/>
    </xf>
    <xf numFmtId="0" fontId="11" fillId="0" borderId="4" xfId="2" applyFont="1" applyBorder="1" applyAlignment="1" applyProtection="1">
      <alignment horizontal="center" vertical="center"/>
      <protection locked="0"/>
    </xf>
    <xf numFmtId="0" fontId="60" fillId="14" borderId="0" xfId="0" applyFont="1" applyFill="1" applyAlignment="1" applyProtection="1">
      <alignment horizontal="center"/>
      <protection locked="0"/>
    </xf>
    <xf numFmtId="0" fontId="20" fillId="0" borderId="4" xfId="2" applyFont="1" applyBorder="1" applyAlignment="1" applyProtection="1">
      <alignment horizontal="left" vertical="center"/>
      <protection locked="0"/>
    </xf>
    <xf numFmtId="0" fontId="11" fillId="0" borderId="4" xfId="2" applyFont="1" applyBorder="1" applyAlignment="1" applyProtection="1">
      <alignment horizontal="left" vertical="center"/>
      <protection locked="0"/>
    </xf>
    <xf numFmtId="0" fontId="11" fillId="0" borderId="4" xfId="2" applyFont="1" applyBorder="1" applyAlignment="1" applyProtection="1">
      <alignment horizontal="right" vertical="center"/>
      <protection locked="0"/>
    </xf>
    <xf numFmtId="0" fontId="17" fillId="0" borderId="25" xfId="2" applyFont="1" applyBorder="1" applyAlignment="1" applyProtection="1">
      <alignment horizontal="left" vertical="top" wrapText="1"/>
      <protection locked="0"/>
    </xf>
    <xf numFmtId="0" fontId="17" fillId="0" borderId="26" xfId="2" applyFont="1" applyBorder="1" applyAlignment="1" applyProtection="1">
      <alignment horizontal="left" vertical="top" wrapText="1"/>
      <protection locked="0"/>
    </xf>
    <xf numFmtId="0" fontId="17" fillId="0" borderId="32" xfId="2" applyFont="1" applyBorder="1" applyAlignment="1" applyProtection="1">
      <alignment horizontal="left" vertical="top" wrapText="1"/>
      <protection locked="0"/>
    </xf>
    <xf numFmtId="0" fontId="17" fillId="0" borderId="25" xfId="2" applyFont="1" applyBorder="1" applyAlignment="1" applyProtection="1">
      <alignment horizontal="left" vertical="center" wrapText="1"/>
      <protection locked="0"/>
    </xf>
    <xf numFmtId="0" fontId="17" fillId="0" borderId="26" xfId="2" applyFont="1" applyBorder="1" applyAlignment="1" applyProtection="1">
      <alignment horizontal="left" vertical="center" wrapText="1"/>
      <protection locked="0"/>
    </xf>
    <xf numFmtId="0" fontId="17" fillId="0" borderId="32" xfId="2" applyFont="1" applyBorder="1" applyAlignment="1" applyProtection="1">
      <alignment horizontal="left" vertical="center" wrapText="1"/>
      <protection locked="0"/>
    </xf>
    <xf numFmtId="0" fontId="27" fillId="0" borderId="25" xfId="2" applyFont="1" applyBorder="1" applyAlignment="1" applyProtection="1">
      <alignment horizontal="right" vertical="center"/>
      <protection locked="0"/>
    </xf>
    <xf numFmtId="0" fontId="27" fillId="0" borderId="26" xfId="2" applyFont="1" applyBorder="1" applyAlignment="1" applyProtection="1">
      <alignment horizontal="right" vertical="center"/>
      <protection locked="0"/>
    </xf>
    <xf numFmtId="0" fontId="27" fillId="0" borderId="32" xfId="2" applyFont="1" applyBorder="1" applyAlignment="1" applyProtection="1">
      <alignment horizontal="right" vertical="center"/>
      <protection locked="0"/>
    </xf>
    <xf numFmtId="0" fontId="16" fillId="0" borderId="4" xfId="2" applyFont="1" applyBorder="1" applyAlignment="1" applyProtection="1">
      <alignment horizontal="left" vertical="center"/>
      <protection locked="0"/>
    </xf>
    <xf numFmtId="0" fontId="11" fillId="0" borderId="4" xfId="2" applyFont="1" applyBorder="1" applyAlignment="1" applyProtection="1">
      <alignment vertical="center"/>
      <protection locked="0"/>
    </xf>
    <xf numFmtId="0" fontId="13" fillId="0" borderId="27" xfId="2" applyFont="1" applyBorder="1" applyAlignment="1" applyProtection="1">
      <alignment horizontal="center" vertical="center"/>
      <protection locked="0"/>
    </xf>
    <xf numFmtId="0" fontId="13" fillId="0" borderId="31" xfId="2" applyFont="1" applyBorder="1" applyAlignment="1" applyProtection="1">
      <alignment horizontal="center" vertical="center"/>
      <protection locked="0"/>
    </xf>
    <xf numFmtId="0" fontId="13" fillId="0" borderId="34" xfId="2" applyFont="1" applyBorder="1" applyAlignment="1" applyProtection="1">
      <alignment horizontal="center" vertical="center"/>
      <protection locked="0"/>
    </xf>
    <xf numFmtId="0" fontId="13" fillId="0" borderId="45" xfId="2"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13" fillId="0" borderId="32" xfId="2" applyFont="1" applyBorder="1" applyAlignment="1" applyProtection="1">
      <alignment horizontal="center" vertical="center"/>
      <protection locked="0"/>
    </xf>
    <xf numFmtId="0" fontId="55" fillId="0" borderId="25" xfId="0" applyFont="1" applyBorder="1" applyAlignment="1" applyProtection="1">
      <alignment horizontal="center"/>
      <protection locked="0"/>
    </xf>
    <xf numFmtId="0" fontId="55" fillId="0" borderId="32" xfId="0" applyFont="1" applyBorder="1" applyAlignment="1" applyProtection="1">
      <alignment horizontal="center"/>
      <protection locked="0"/>
    </xf>
    <xf numFmtId="0" fontId="56" fillId="0" borderId="26" xfId="2" applyFont="1" applyBorder="1" applyAlignment="1" applyProtection="1">
      <alignment horizontal="center" vertical="center"/>
      <protection locked="0"/>
    </xf>
    <xf numFmtId="0" fontId="56" fillId="0" borderId="32" xfId="2" applyFont="1" applyBorder="1" applyAlignment="1" applyProtection="1">
      <alignment horizontal="center" vertical="center"/>
      <protection locked="0"/>
    </xf>
    <xf numFmtId="0" fontId="52" fillId="0" borderId="0" xfId="2" applyFont="1" applyAlignment="1" applyProtection="1">
      <alignment horizontal="center" vertical="center"/>
      <protection locked="0"/>
    </xf>
    <xf numFmtId="0" fontId="52" fillId="0" borderId="45" xfId="2" applyFont="1" applyBorder="1" applyAlignment="1" applyProtection="1">
      <alignment horizontal="center" vertical="center"/>
      <protection locked="0"/>
    </xf>
    <xf numFmtId="0" fontId="45" fillId="0" borderId="25" xfId="2" applyFont="1" applyBorder="1" applyAlignment="1" applyProtection="1">
      <alignment horizontal="center" vertical="center"/>
      <protection locked="0"/>
    </xf>
    <xf numFmtId="0" fontId="45" fillId="0" borderId="26" xfId="2" applyFont="1" applyBorder="1" applyAlignment="1" applyProtection="1">
      <alignment horizontal="center" vertical="center"/>
      <protection locked="0"/>
    </xf>
    <xf numFmtId="0" fontId="45" fillId="0" borderId="32" xfId="2" applyFont="1" applyBorder="1" applyAlignment="1" applyProtection="1">
      <alignment horizontal="center" vertical="center"/>
      <protection locked="0"/>
    </xf>
    <xf numFmtId="0" fontId="56" fillId="0" borderId="25" xfId="2" applyFont="1" applyBorder="1" applyAlignment="1" applyProtection="1">
      <alignment horizontal="center" vertical="center"/>
      <protection locked="0"/>
    </xf>
    <xf numFmtId="0" fontId="33" fillId="0" borderId="25" xfId="2" applyFont="1" applyBorder="1" applyAlignment="1" applyProtection="1">
      <alignment horizontal="center" vertical="center"/>
      <protection locked="0"/>
    </xf>
    <xf numFmtId="0" fontId="33" fillId="0" borderId="26" xfId="2" applyFont="1" applyBorder="1" applyAlignment="1" applyProtection="1">
      <alignment horizontal="center" vertical="center"/>
      <protection locked="0"/>
    </xf>
    <xf numFmtId="0" fontId="53" fillId="0" borderId="25" xfId="2" applyFont="1" applyBorder="1" applyAlignment="1" applyProtection="1">
      <alignment horizontal="center" vertical="center"/>
      <protection locked="0"/>
    </xf>
    <xf numFmtId="0" fontId="53" fillId="0" borderId="26" xfId="2" applyFont="1" applyBorder="1" applyAlignment="1" applyProtection="1">
      <alignment horizontal="center" vertical="center"/>
      <protection locked="0"/>
    </xf>
    <xf numFmtId="0" fontId="53" fillId="0" borderId="32" xfId="2" applyFont="1" applyBorder="1" applyAlignment="1" applyProtection="1">
      <alignment horizontal="center" vertical="center"/>
      <protection locked="0"/>
    </xf>
    <xf numFmtId="0" fontId="33" fillId="0" borderId="32" xfId="2" applyFont="1" applyBorder="1" applyAlignment="1" applyProtection="1">
      <alignment horizontal="center" vertical="center"/>
      <protection locked="0"/>
    </xf>
    <xf numFmtId="0" fontId="54" fillId="0" borderId="26" xfId="2" applyFont="1" applyBorder="1" applyAlignment="1" applyProtection="1">
      <alignment horizontal="center" vertical="center"/>
      <protection locked="0"/>
    </xf>
    <xf numFmtId="0" fontId="54" fillId="0" borderId="32" xfId="2" applyFont="1" applyBorder="1" applyAlignment="1" applyProtection="1">
      <alignment horizontal="center" vertical="center"/>
      <protection locked="0"/>
    </xf>
    <xf numFmtId="0" fontId="0" fillId="0" borderId="0" xfId="0" applyAlignment="1" applyProtection="1">
      <alignment horizontal="center"/>
      <protection locked="0"/>
    </xf>
    <xf numFmtId="0" fontId="45" fillId="0" borderId="29" xfId="2" applyFont="1" applyBorder="1" applyAlignment="1" applyProtection="1">
      <alignment horizontal="center" vertical="center"/>
      <protection locked="0"/>
    </xf>
    <xf numFmtId="0" fontId="45" fillId="0" borderId="33" xfId="2" applyFont="1" applyBorder="1" applyAlignment="1" applyProtection="1">
      <alignment horizontal="center" vertical="center"/>
      <protection locked="0"/>
    </xf>
    <xf numFmtId="0" fontId="8" fillId="18" borderId="37" xfId="0" applyFont="1" applyFill="1" applyBorder="1" applyAlignment="1" applyProtection="1">
      <alignment horizontal="center" vertical="center"/>
      <protection locked="0"/>
    </xf>
    <xf numFmtId="0" fontId="8" fillId="18" borderId="38" xfId="0" applyFont="1" applyFill="1" applyBorder="1" applyAlignment="1" applyProtection="1">
      <alignment horizontal="center" vertical="center"/>
      <protection locked="0"/>
    </xf>
    <xf numFmtId="0" fontId="75" fillId="33" borderId="4" xfId="0" applyFont="1" applyFill="1" applyBorder="1" applyAlignment="1" applyProtection="1">
      <alignment horizontal="center" wrapText="1"/>
      <protection locked="0"/>
    </xf>
    <xf numFmtId="0" fontId="36" fillId="34" borderId="4" xfId="0" applyFont="1" applyFill="1" applyBorder="1" applyAlignment="1" applyProtection="1">
      <alignment horizontal="center" vertical="center"/>
      <protection locked="0"/>
    </xf>
    <xf numFmtId="0" fontId="26" fillId="34" borderId="4" xfId="0" applyFont="1" applyFill="1" applyBorder="1" applyProtection="1">
      <protection locked="0"/>
    </xf>
    <xf numFmtId="0" fontId="70" fillId="33" borderId="4" xfId="0" applyFont="1" applyFill="1" applyBorder="1" applyAlignment="1" applyProtection="1">
      <alignment horizontal="center" vertical="center"/>
      <protection locked="0"/>
    </xf>
    <xf numFmtId="0" fontId="36" fillId="81" borderId="4" xfId="0" applyFont="1" applyFill="1" applyBorder="1" applyAlignment="1" applyProtection="1">
      <alignment horizontal="center"/>
      <protection locked="0"/>
    </xf>
    <xf numFmtId="0" fontId="36" fillId="85" borderId="4" xfId="0" applyFont="1" applyFill="1" applyBorder="1" applyAlignment="1" applyProtection="1">
      <alignment horizontal="center"/>
      <protection locked="0"/>
    </xf>
    <xf numFmtId="0" fontId="36" fillId="0" borderId="4" xfId="0" applyFont="1" applyBorder="1" applyAlignment="1" applyProtection="1">
      <alignment horizontal="center"/>
      <protection locked="0"/>
    </xf>
    <xf numFmtId="0" fontId="36" fillId="11" borderId="4" xfId="0" applyFont="1" applyFill="1" applyBorder="1" applyAlignment="1" applyProtection="1">
      <alignment horizontal="center"/>
      <protection locked="0"/>
    </xf>
    <xf numFmtId="0" fontId="48" fillId="11" borderId="4" xfId="0" applyFont="1" applyFill="1" applyBorder="1" applyAlignment="1" applyProtection="1">
      <alignment horizontal="center"/>
      <protection locked="0"/>
    </xf>
    <xf numFmtId="0" fontId="8" fillId="18" borderId="3" xfId="0" applyFont="1" applyFill="1" applyBorder="1" applyAlignment="1" applyProtection="1">
      <alignment horizontal="center" vertical="center"/>
      <protection locked="0"/>
    </xf>
    <xf numFmtId="0" fontId="8" fillId="18" borderId="4" xfId="0" applyFont="1" applyFill="1" applyBorder="1" applyAlignment="1" applyProtection="1">
      <alignment horizontal="center" vertical="center"/>
      <protection locked="0"/>
    </xf>
    <xf numFmtId="0" fontId="4" fillId="14" borderId="4" xfId="0" applyFont="1" applyFill="1" applyBorder="1" applyAlignment="1" applyProtection="1">
      <alignment horizontal="center"/>
      <protection locked="0"/>
    </xf>
    <xf numFmtId="0" fontId="0" fillId="14" borderId="4" xfId="0" applyFill="1" applyBorder="1" applyAlignment="1" applyProtection="1">
      <alignment horizontal="center"/>
      <protection locked="0"/>
    </xf>
    <xf numFmtId="0" fontId="8" fillId="9" borderId="36" xfId="0" applyFont="1" applyFill="1" applyBorder="1" applyAlignment="1" applyProtection="1">
      <alignment horizontal="center" vertical="center"/>
      <protection locked="0"/>
    </xf>
    <xf numFmtId="0" fontId="8" fillId="9" borderId="30" xfId="0" applyFont="1" applyFill="1" applyBorder="1" applyAlignment="1" applyProtection="1">
      <alignment horizontal="center" vertical="center"/>
      <protection locked="0"/>
    </xf>
    <xf numFmtId="0" fontId="0" fillId="14" borderId="43" xfId="0" applyFill="1" applyBorder="1" applyAlignment="1" applyProtection="1">
      <alignment horizontal="center"/>
      <protection locked="0"/>
    </xf>
    <xf numFmtId="0" fontId="0" fillId="14" borderId="36" xfId="0" applyFill="1" applyBorder="1" applyAlignment="1" applyProtection="1">
      <alignment horizontal="center"/>
      <protection locked="0"/>
    </xf>
    <xf numFmtId="0" fontId="8" fillId="9" borderId="10" xfId="0" applyFont="1" applyFill="1" applyBorder="1" applyAlignment="1" applyProtection="1">
      <alignment horizontal="center" vertical="center"/>
      <protection locked="0"/>
    </xf>
    <xf numFmtId="0" fontId="8" fillId="9" borderId="9" xfId="0" applyFont="1" applyFill="1" applyBorder="1" applyAlignment="1" applyProtection="1">
      <alignment horizontal="center" vertical="center"/>
      <protection locked="0"/>
    </xf>
    <xf numFmtId="0" fontId="51" fillId="17" borderId="4" xfId="0" applyFont="1" applyFill="1" applyBorder="1" applyAlignment="1" applyProtection="1">
      <alignment horizontal="center" wrapText="1"/>
      <protection locked="0"/>
    </xf>
    <xf numFmtId="0" fontId="42" fillId="7" borderId="4" xfId="0" applyFont="1" applyFill="1" applyBorder="1" applyAlignment="1" applyProtection="1">
      <alignment horizontal="center"/>
      <protection locked="0"/>
    </xf>
    <xf numFmtId="0" fontId="36" fillId="10" borderId="25" xfId="0" applyFont="1" applyFill="1" applyBorder="1" applyAlignment="1" applyProtection="1">
      <alignment horizontal="center"/>
      <protection locked="0"/>
    </xf>
    <xf numFmtId="0" fontId="36" fillId="10" borderId="26" xfId="0" applyFont="1" applyFill="1" applyBorder="1" applyAlignment="1" applyProtection="1">
      <alignment horizontal="center"/>
      <protection locked="0"/>
    </xf>
    <xf numFmtId="0" fontId="36" fillId="10" borderId="32" xfId="0" applyFont="1" applyFill="1" applyBorder="1" applyAlignment="1" applyProtection="1">
      <alignment horizontal="center"/>
      <protection locked="0"/>
    </xf>
    <xf numFmtId="0" fontId="36" fillId="16" borderId="25" xfId="0" applyFont="1" applyFill="1" applyBorder="1" applyAlignment="1" applyProtection="1">
      <alignment horizontal="center"/>
      <protection locked="0"/>
    </xf>
    <xf numFmtId="0" fontId="36" fillId="16" borderId="26" xfId="0" applyFont="1" applyFill="1" applyBorder="1" applyAlignment="1" applyProtection="1">
      <alignment horizontal="center"/>
      <protection locked="0"/>
    </xf>
    <xf numFmtId="0" fontId="36" fillId="16" borderId="32" xfId="0" applyFont="1" applyFill="1" applyBorder="1" applyAlignment="1" applyProtection="1">
      <alignment horizontal="center"/>
      <protection locked="0"/>
    </xf>
    <xf numFmtId="0" fontId="11" fillId="0" borderId="27"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25" fillId="0" borderId="4" xfId="2" applyFont="1" applyBorder="1" applyAlignment="1" applyProtection="1">
      <alignment horizontal="left" vertical="center" wrapText="1"/>
      <protection locked="0"/>
    </xf>
    <xf numFmtId="0" fontId="40" fillId="0" borderId="36" xfId="0" applyFont="1" applyBorder="1" applyAlignment="1" applyProtection="1">
      <alignment horizontal="center"/>
      <protection locked="0"/>
    </xf>
    <xf numFmtId="0" fontId="46" fillId="5" borderId="18" xfId="0" applyFont="1" applyFill="1" applyBorder="1" applyAlignment="1" applyProtection="1">
      <alignment horizontal="center" vertical="center"/>
      <protection locked="0"/>
    </xf>
    <xf numFmtId="0" fontId="46" fillId="5" borderId="19" xfId="0" applyFont="1" applyFill="1" applyBorder="1" applyAlignment="1" applyProtection="1">
      <alignment horizontal="center" vertical="center"/>
      <protection locked="0"/>
    </xf>
    <xf numFmtId="0" fontId="46" fillId="5" borderId="20" xfId="0" applyFont="1" applyFill="1" applyBorder="1" applyAlignment="1" applyProtection="1">
      <alignment horizontal="center" vertical="center"/>
      <protection locked="0"/>
    </xf>
    <xf numFmtId="0" fontId="38" fillId="24" borderId="4" xfId="0" applyFont="1" applyFill="1" applyBorder="1" applyAlignment="1" applyProtection="1">
      <alignment horizontal="center" vertical="center" wrapText="1"/>
      <protection locked="0"/>
    </xf>
    <xf numFmtId="0" fontId="37" fillId="28" borderId="4" xfId="0" applyFont="1" applyFill="1" applyBorder="1" applyAlignment="1" applyProtection="1">
      <alignment horizontal="center" vertical="center"/>
      <protection locked="0"/>
    </xf>
    <xf numFmtId="0" fontId="42" fillId="31" borderId="4" xfId="0" applyFont="1" applyFill="1" applyBorder="1" applyAlignment="1" applyProtection="1">
      <alignment horizontal="center"/>
      <protection locked="0"/>
    </xf>
    <xf numFmtId="2" fontId="16" fillId="0" borderId="4" xfId="2" applyNumberFormat="1" applyFont="1" applyBorder="1" applyAlignment="1" applyProtection="1">
      <alignment horizontal="center" vertical="center"/>
      <protection locked="0"/>
    </xf>
    <xf numFmtId="0" fontId="11" fillId="0" borderId="27" xfId="2" applyFont="1" applyBorder="1" applyAlignment="1" applyProtection="1">
      <alignment horizontal="left" vertical="center" wrapText="1"/>
      <protection locked="0"/>
    </xf>
    <xf numFmtId="0" fontId="11" fillId="0" borderId="31" xfId="2" applyFont="1" applyBorder="1" applyAlignment="1" applyProtection="1">
      <alignment horizontal="left" vertical="center" wrapText="1"/>
      <protection locked="0"/>
    </xf>
    <xf numFmtId="0" fontId="11" fillId="0" borderId="29" xfId="2" applyFont="1" applyBorder="1" applyAlignment="1" applyProtection="1">
      <alignment horizontal="left" vertical="center" wrapText="1"/>
      <protection locked="0"/>
    </xf>
    <xf numFmtId="0" fontId="11" fillId="0" borderId="33" xfId="2" applyFont="1" applyBorder="1" applyAlignment="1" applyProtection="1">
      <alignment horizontal="left" vertical="center" wrapText="1"/>
      <protection locked="0"/>
    </xf>
    <xf numFmtId="0" fontId="11" fillId="0" borderId="25" xfId="2" applyFont="1" applyBorder="1" applyAlignment="1" applyProtection="1">
      <alignment horizontal="center" vertical="center"/>
      <protection locked="0"/>
    </xf>
    <xf numFmtId="0" fontId="11" fillId="0" borderId="26"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2" fontId="16" fillId="0" borderId="25" xfId="2" applyNumberFormat="1" applyFont="1" applyBorder="1" applyAlignment="1" applyProtection="1">
      <alignment horizontal="center" vertical="center"/>
      <protection locked="0"/>
    </xf>
    <xf numFmtId="2" fontId="16" fillId="0" borderId="26" xfId="2" applyNumberFormat="1" applyFont="1" applyBorder="1" applyAlignment="1" applyProtection="1">
      <alignment horizontal="center" vertical="center"/>
      <protection locked="0"/>
    </xf>
    <xf numFmtId="2" fontId="16" fillId="0" borderId="32" xfId="2" applyNumberFormat="1" applyFont="1" applyBorder="1" applyAlignment="1" applyProtection="1">
      <alignment horizontal="center" vertical="center"/>
      <protection locked="0"/>
    </xf>
    <xf numFmtId="0" fontId="49" fillId="13" borderId="4" xfId="0" applyFont="1" applyFill="1" applyBorder="1" applyAlignment="1" applyProtection="1">
      <alignment horizontal="center" vertical="center"/>
      <protection locked="0"/>
    </xf>
    <xf numFmtId="0" fontId="26" fillId="0" borderId="4" xfId="0" applyFont="1" applyBorder="1" applyProtection="1">
      <protection locked="0"/>
    </xf>
    <xf numFmtId="0" fontId="20" fillId="0" borderId="25" xfId="2" applyFont="1" applyBorder="1" applyAlignment="1" applyProtection="1">
      <alignment horizontal="left" vertical="center"/>
      <protection locked="0"/>
    </xf>
    <xf numFmtId="0" fontId="11" fillId="0" borderId="4" xfId="2" applyFont="1" applyBorder="1" applyAlignment="1" applyProtection="1">
      <alignment horizontal="center" vertical="top"/>
      <protection locked="0"/>
    </xf>
    <xf numFmtId="0" fontId="11" fillId="0" borderId="25" xfId="2" applyFont="1" applyBorder="1" applyAlignment="1" applyProtection="1">
      <alignment horizontal="left" vertical="top"/>
      <protection locked="0"/>
    </xf>
    <xf numFmtId="0" fontId="11" fillId="0" borderId="26" xfId="2" applyFont="1" applyBorder="1" applyAlignment="1" applyProtection="1">
      <alignment horizontal="left" vertical="top"/>
      <protection locked="0"/>
    </xf>
    <xf numFmtId="0" fontId="11" fillId="0" borderId="32" xfId="2" applyFont="1" applyBorder="1" applyAlignment="1" applyProtection="1">
      <alignment horizontal="left" vertical="top"/>
      <protection locked="0"/>
    </xf>
    <xf numFmtId="0" fontId="11" fillId="0" borderId="9" xfId="2" applyFont="1" applyBorder="1" applyAlignment="1" applyProtection="1">
      <alignment horizontal="left" vertical="center"/>
      <protection locked="0"/>
    </xf>
    <xf numFmtId="2" fontId="48" fillId="10" borderId="25" xfId="0" applyNumberFormat="1" applyFont="1" applyFill="1" applyBorder="1" applyAlignment="1" applyProtection="1">
      <alignment horizontal="center"/>
      <protection locked="0"/>
    </xf>
    <xf numFmtId="2" fontId="48" fillId="10" borderId="32" xfId="0" applyNumberFormat="1" applyFont="1" applyFill="1" applyBorder="1" applyAlignment="1" applyProtection="1">
      <alignment horizontal="center"/>
      <protection locked="0"/>
    </xf>
    <xf numFmtId="0" fontId="11" fillId="0" borderId="22" xfId="2" applyFont="1" applyBorder="1" applyAlignment="1" applyProtection="1">
      <alignment horizontal="left" vertical="center"/>
      <protection locked="0"/>
    </xf>
    <xf numFmtId="0" fontId="11" fillId="0" borderId="23" xfId="2" applyFont="1" applyBorder="1" applyAlignment="1" applyProtection="1">
      <alignment horizontal="left" vertical="center"/>
      <protection locked="0"/>
    </xf>
    <xf numFmtId="0" fontId="10" fillId="0" borderId="16" xfId="2" applyFont="1" applyBorder="1" applyAlignment="1" applyProtection="1">
      <alignment horizontal="center" vertical="center"/>
      <protection locked="0"/>
    </xf>
    <xf numFmtId="0" fontId="36" fillId="16" borderId="4" xfId="0" applyFont="1" applyFill="1" applyBorder="1" applyAlignment="1" applyProtection="1">
      <alignment horizontal="center"/>
      <protection locked="0"/>
    </xf>
    <xf numFmtId="0" fontId="11" fillId="0" borderId="25" xfId="2" applyFont="1" applyBorder="1" applyAlignment="1" applyProtection="1">
      <alignment horizontal="left" vertical="center"/>
      <protection locked="0"/>
    </xf>
    <xf numFmtId="0" fontId="11" fillId="0" borderId="26" xfId="2" applyFont="1" applyBorder="1" applyAlignment="1" applyProtection="1">
      <alignment horizontal="left" vertical="center"/>
      <protection locked="0"/>
    </xf>
    <xf numFmtId="0" fontId="11" fillId="0" borderId="34"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5" xfId="2" applyFont="1" applyBorder="1" applyAlignment="1" applyProtection="1">
      <alignment horizontal="center" vertical="center"/>
      <protection locked="0"/>
    </xf>
    <xf numFmtId="49" fontId="12" fillId="0" borderId="24" xfId="2" applyNumberFormat="1" applyFont="1" applyBorder="1" applyAlignment="1" applyProtection="1">
      <alignment horizontal="center" vertical="center"/>
      <protection locked="0"/>
    </xf>
    <xf numFmtId="0" fontId="12" fillId="0" borderId="22" xfId="2"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1" fontId="36" fillId="35" borderId="25" xfId="0" applyNumberFormat="1" applyFont="1" applyFill="1" applyBorder="1" applyAlignment="1" applyProtection="1">
      <alignment horizontal="center" vertical="center"/>
      <protection locked="0"/>
    </xf>
    <xf numFmtId="1" fontId="36" fillId="35" borderId="26" xfId="0" applyNumberFormat="1" applyFont="1" applyFill="1" applyBorder="1" applyAlignment="1" applyProtection="1">
      <alignment horizontal="center" vertical="center"/>
      <protection locked="0"/>
    </xf>
    <xf numFmtId="1" fontId="36" fillId="35" borderId="32" xfId="0" applyNumberFormat="1" applyFont="1" applyFill="1" applyBorder="1" applyAlignment="1" applyProtection="1">
      <alignment horizontal="center" vertical="center"/>
      <protection locked="0"/>
    </xf>
    <xf numFmtId="0" fontId="11" fillId="0" borderId="32" xfId="2" applyFont="1" applyBorder="1" applyAlignment="1" applyProtection="1">
      <alignment horizontal="left" vertical="center"/>
      <protection locked="0"/>
    </xf>
    <xf numFmtId="0" fontId="91" fillId="0" borderId="0" xfId="0" applyFont="1" applyAlignment="1">
      <alignment horizontal="center"/>
    </xf>
    <xf numFmtId="0" fontId="2" fillId="14" borderId="0" xfId="0" applyFont="1" applyFill="1" applyAlignment="1" applyProtection="1">
      <alignment horizontal="center"/>
      <protection locked="0"/>
    </xf>
    <xf numFmtId="0" fontId="4" fillId="14" borderId="0" xfId="0" applyFont="1" applyFill="1" applyAlignment="1" applyProtection="1">
      <alignment horizontal="center"/>
      <protection locked="0"/>
    </xf>
    <xf numFmtId="0" fontId="182" fillId="90" borderId="165" xfId="0" applyFont="1" applyFill="1" applyBorder="1" applyAlignment="1" applyProtection="1">
      <alignment horizontal="center" wrapText="1"/>
      <protection locked="0"/>
    </xf>
    <xf numFmtId="0" fontId="11" fillId="0" borderId="13" xfId="2" applyFont="1" applyBorder="1" applyAlignment="1" applyProtection="1">
      <alignment horizontal="center" vertical="top"/>
      <protection locked="0"/>
    </xf>
    <xf numFmtId="0" fontId="11" fillId="0" borderId="28" xfId="2" applyFont="1" applyBorder="1" applyAlignment="1" applyProtection="1">
      <alignment horizontal="center" vertical="top"/>
      <protection locked="0"/>
    </xf>
    <xf numFmtId="0" fontId="11" fillId="0" borderId="10" xfId="2" applyFont="1" applyBorder="1" applyAlignment="1" applyProtection="1">
      <alignment horizontal="center" vertical="top"/>
      <protection locked="0"/>
    </xf>
    <xf numFmtId="0" fontId="11" fillId="0" borderId="3" xfId="2" applyFont="1" applyBorder="1" applyAlignment="1" applyProtection="1">
      <alignment horizontal="center" vertical="top"/>
      <protection locked="0"/>
    </xf>
    <xf numFmtId="0" fontId="2" fillId="57" borderId="4" xfId="0" applyFont="1" applyFill="1" applyBorder="1" applyAlignment="1" applyProtection="1">
      <alignment horizontal="center" wrapText="1"/>
      <protection locked="0"/>
    </xf>
    <xf numFmtId="0" fontId="4" fillId="63" borderId="25" xfId="0" applyFont="1" applyFill="1" applyBorder="1" applyAlignment="1" applyProtection="1">
      <alignment horizontal="center"/>
      <protection locked="0"/>
    </xf>
    <xf numFmtId="0" fontId="4" fillId="63" borderId="32" xfId="0" applyFont="1" applyFill="1" applyBorder="1" applyAlignment="1" applyProtection="1">
      <alignment horizontal="center"/>
      <protection locked="0"/>
    </xf>
    <xf numFmtId="0" fontId="2" fillId="74" borderId="4" xfId="0" applyFont="1" applyFill="1" applyBorder="1" applyAlignment="1" applyProtection="1">
      <alignment horizontal="center" vertical="center"/>
      <protection locked="0"/>
    </xf>
    <xf numFmtId="0" fontId="4" fillId="74" borderId="4" xfId="0" applyFont="1" applyFill="1" applyBorder="1" applyAlignment="1" applyProtection="1">
      <alignment horizontal="center" vertical="center"/>
      <protection locked="0"/>
    </xf>
    <xf numFmtId="0" fontId="11" fillId="0" borderId="11" xfId="2" applyFont="1" applyBorder="1" applyAlignment="1" applyProtection="1">
      <alignment horizontal="center" vertical="top"/>
      <protection locked="0"/>
    </xf>
    <xf numFmtId="0" fontId="11" fillId="0" borderId="9" xfId="2" applyFont="1" applyBorder="1" applyAlignment="1" applyProtection="1">
      <alignment horizontal="center" vertical="top"/>
      <protection locked="0"/>
    </xf>
    <xf numFmtId="0" fontId="26" fillId="32" borderId="4" xfId="0" applyFont="1" applyFill="1" applyBorder="1" applyAlignment="1" applyProtection="1">
      <alignment horizontal="center" wrapText="1"/>
      <protection locked="0"/>
    </xf>
    <xf numFmtId="0" fontId="17" fillId="0" borderId="4" xfId="2" applyFont="1" applyBorder="1" applyAlignment="1" applyProtection="1">
      <alignment horizontal="left" vertical="center"/>
      <protection locked="0"/>
    </xf>
    <xf numFmtId="0" fontId="17" fillId="0" borderId="25" xfId="2" applyFont="1" applyBorder="1" applyAlignment="1" applyProtection="1">
      <alignment horizontal="left" vertical="center"/>
      <protection locked="0"/>
    </xf>
    <xf numFmtId="0" fontId="72" fillId="33" borderId="62" xfId="0" applyFont="1" applyFill="1" applyBorder="1" applyAlignment="1">
      <alignment horizontal="center"/>
    </xf>
    <xf numFmtId="0" fontId="72" fillId="33" borderId="63" xfId="0" applyFont="1" applyFill="1" applyBorder="1" applyAlignment="1">
      <alignment horizontal="center"/>
    </xf>
    <xf numFmtId="0" fontId="72" fillId="33" borderId="64" xfId="0" applyFont="1" applyFill="1" applyBorder="1" applyAlignment="1">
      <alignment horizontal="center"/>
    </xf>
    <xf numFmtId="0" fontId="178" fillId="0" borderId="0" xfId="0" applyFont="1" applyAlignment="1">
      <alignment horizontal="center" wrapText="1"/>
    </xf>
    <xf numFmtId="0" fontId="178" fillId="0" borderId="187" xfId="0" applyFont="1" applyBorder="1" applyAlignment="1">
      <alignment horizontal="center" wrapText="1"/>
    </xf>
    <xf numFmtId="0" fontId="80" fillId="6" borderId="69" xfId="0" applyFont="1" applyFill="1" applyBorder="1" applyAlignment="1">
      <alignment horizontal="center" vertical="center" wrapText="1"/>
    </xf>
    <xf numFmtId="0" fontId="80" fillId="6" borderId="70" xfId="0" applyFont="1" applyFill="1" applyBorder="1" applyAlignment="1">
      <alignment horizontal="center" vertical="center" wrapText="1"/>
    </xf>
    <xf numFmtId="0" fontId="80" fillId="6" borderId="36" xfId="0" applyFont="1" applyFill="1" applyBorder="1" applyAlignment="1">
      <alignment horizontal="center" vertical="center" wrapText="1"/>
    </xf>
    <xf numFmtId="0" fontId="80" fillId="6" borderId="122" xfId="0" applyFont="1" applyFill="1" applyBorder="1" applyAlignment="1">
      <alignment horizontal="center" vertical="center" wrapText="1"/>
    </xf>
    <xf numFmtId="0" fontId="220" fillId="0" borderId="186" xfId="0" applyFont="1" applyBorder="1" applyAlignment="1">
      <alignment horizontal="center" wrapText="1"/>
    </xf>
    <xf numFmtId="0" fontId="220" fillId="0" borderId="0" xfId="0" applyFont="1" applyAlignment="1">
      <alignment horizontal="center" wrapText="1"/>
    </xf>
    <xf numFmtId="0" fontId="74" fillId="33" borderId="49" xfId="0" applyFont="1" applyFill="1" applyBorder="1" applyAlignment="1">
      <alignment horizontal="left"/>
    </xf>
    <xf numFmtId="0" fontId="26" fillId="0" borderId="49" xfId="0" applyFont="1" applyBorder="1"/>
    <xf numFmtId="0" fontId="26" fillId="0" borderId="41" xfId="0" applyFont="1" applyBorder="1"/>
    <xf numFmtId="0" fontId="216" fillId="73" borderId="0" xfId="0" applyFont="1" applyFill="1" applyAlignment="1">
      <alignment horizontal="center"/>
    </xf>
    <xf numFmtId="0" fontId="85" fillId="37" borderId="188" xfId="0" applyFont="1" applyFill="1" applyBorder="1" applyAlignment="1">
      <alignment horizontal="center"/>
    </xf>
    <xf numFmtId="0" fontId="85" fillId="37" borderId="58" xfId="0" applyFont="1" applyFill="1" applyBorder="1" applyAlignment="1">
      <alignment horizontal="center"/>
    </xf>
    <xf numFmtId="0" fontId="74" fillId="33" borderId="51" xfId="0" applyFont="1" applyFill="1" applyBorder="1" applyAlignment="1">
      <alignment horizontal="left"/>
    </xf>
    <xf numFmtId="0" fontId="26" fillId="0" borderId="51" xfId="0" applyFont="1" applyBorder="1"/>
    <xf numFmtId="0" fontId="26" fillId="0" borderId="52" xfId="0" applyFont="1" applyBorder="1"/>
    <xf numFmtId="0" fontId="69" fillId="33" borderId="66" xfId="0" applyFont="1" applyFill="1" applyBorder="1" applyAlignment="1">
      <alignment horizontal="center" vertical="center"/>
    </xf>
    <xf numFmtId="0" fontId="69" fillId="33" borderId="67" xfId="0" applyFont="1" applyFill="1" applyBorder="1" applyAlignment="1">
      <alignment horizontal="center" vertical="center"/>
    </xf>
    <xf numFmtId="0" fontId="69" fillId="33" borderId="120" xfId="0" applyFont="1" applyFill="1" applyBorder="1" applyAlignment="1">
      <alignment horizontal="center" vertical="center"/>
    </xf>
    <xf numFmtId="0" fontId="69" fillId="33" borderId="121" xfId="0" applyFont="1" applyFill="1" applyBorder="1" applyAlignment="1">
      <alignment horizontal="center" vertical="center"/>
    </xf>
    <xf numFmtId="0" fontId="67" fillId="33" borderId="29" xfId="0" applyFont="1" applyFill="1" applyBorder="1" applyAlignment="1">
      <alignment horizontal="center" vertical="center"/>
    </xf>
    <xf numFmtId="0" fontId="67" fillId="33" borderId="36" xfId="0" applyFont="1" applyFill="1" applyBorder="1" applyAlignment="1">
      <alignment horizontal="center" vertical="center"/>
    </xf>
    <xf numFmtId="0" fontId="67" fillId="33" borderId="33" xfId="0" applyFont="1" applyFill="1" applyBorder="1" applyAlignment="1">
      <alignment horizontal="center" vertical="center"/>
    </xf>
    <xf numFmtId="0" fontId="61" fillId="67" borderId="4" xfId="0" applyFont="1" applyFill="1" applyBorder="1" applyAlignment="1">
      <alignment horizontal="center"/>
    </xf>
    <xf numFmtId="0" fontId="35" fillId="0" borderId="164" xfId="0" applyFont="1" applyBorder="1" applyAlignment="1" applyProtection="1">
      <alignment horizontal="center" vertical="center" wrapText="1"/>
      <protection locked="0" hidden="1"/>
    </xf>
    <xf numFmtId="0" fontId="194" fillId="0" borderId="0" xfId="0" applyFont="1" applyAlignment="1">
      <alignment horizontal="center" vertical="center"/>
    </xf>
    <xf numFmtId="0" fontId="284" fillId="75" borderId="119" xfId="0" applyFont="1" applyFill="1" applyBorder="1" applyAlignment="1" applyProtection="1">
      <alignment horizontal="center" vertical="center" wrapText="1"/>
      <protection hidden="1"/>
    </xf>
    <xf numFmtId="0" fontId="249" fillId="13" borderId="266" xfId="0" applyFont="1" applyFill="1" applyBorder="1" applyAlignment="1" applyProtection="1">
      <alignment horizontal="center" vertical="center" wrapText="1"/>
      <protection locked="0"/>
    </xf>
    <xf numFmtId="0" fontId="26" fillId="0" borderId="41" xfId="0" applyFont="1" applyBorder="1" applyProtection="1">
      <protection locked="0"/>
    </xf>
    <xf numFmtId="0" fontId="262" fillId="0" borderId="164" xfId="0" applyFont="1" applyBorder="1" applyAlignment="1">
      <alignment horizontal="left" vertical="center" wrapText="1"/>
    </xf>
    <xf numFmtId="0" fontId="249" fillId="0" borderId="164" xfId="0" applyFont="1" applyBorder="1" applyAlignment="1">
      <alignment horizontal="left" vertical="center" wrapText="1"/>
    </xf>
    <xf numFmtId="0" fontId="44" fillId="0" borderId="164" xfId="0" applyFont="1" applyBorder="1" applyAlignment="1">
      <alignment horizontal="left" vertical="center" wrapText="1"/>
    </xf>
    <xf numFmtId="0" fontId="249" fillId="0" borderId="55" xfId="0" applyFont="1" applyBorder="1" applyAlignment="1">
      <alignment horizontal="left" vertical="center" wrapText="1"/>
    </xf>
    <xf numFmtId="0" fontId="249" fillId="0" borderId="56" xfId="0" applyFont="1" applyBorder="1" applyAlignment="1">
      <alignment horizontal="left" vertical="center" wrapText="1"/>
    </xf>
    <xf numFmtId="0" fontId="249" fillId="0" borderId="57" xfId="0" applyFont="1" applyBorder="1" applyAlignment="1">
      <alignment horizontal="left" vertical="center" wrapText="1"/>
    </xf>
    <xf numFmtId="0" fontId="262" fillId="0" borderId="55" xfId="0" applyFont="1" applyBorder="1" applyAlignment="1">
      <alignment horizontal="left" vertical="center" wrapText="1"/>
    </xf>
    <xf numFmtId="0" fontId="262" fillId="0" borderId="56" xfId="0" applyFont="1" applyBorder="1" applyAlignment="1">
      <alignment horizontal="left" vertical="center" wrapText="1"/>
    </xf>
    <xf numFmtId="0" fontId="262" fillId="0" borderId="57" xfId="0" applyFont="1" applyBorder="1" applyAlignment="1">
      <alignment horizontal="left" vertical="center" wrapText="1"/>
    </xf>
    <xf numFmtId="0" fontId="26" fillId="0" borderId="166" xfId="0" applyFont="1" applyBorder="1" applyAlignment="1">
      <alignment horizontal="center"/>
    </xf>
    <xf numFmtId="0" fontId="26" fillId="0" borderId="169" xfId="0" applyFont="1" applyBorder="1" applyAlignment="1">
      <alignment horizontal="center"/>
    </xf>
    <xf numFmtId="0" fontId="26" fillId="0" borderId="167" xfId="0" applyFont="1" applyBorder="1" applyAlignment="1">
      <alignment horizontal="center"/>
    </xf>
    <xf numFmtId="0" fontId="26" fillId="0" borderId="298" xfId="0" applyFont="1" applyBorder="1" applyAlignment="1">
      <alignment horizontal="center"/>
    </xf>
    <xf numFmtId="0" fontId="26" fillId="0" borderId="0" xfId="0" applyFont="1" applyAlignment="1">
      <alignment horizontal="center"/>
    </xf>
    <xf numFmtId="0" fontId="26" fillId="0" borderId="223" xfId="0" applyFont="1" applyBorder="1" applyAlignment="1">
      <alignment horizontal="center"/>
    </xf>
    <xf numFmtId="0" fontId="246" fillId="0" borderId="164" xfId="0" applyFont="1" applyBorder="1" applyAlignment="1" applyProtection="1">
      <alignment horizontal="center" vertical="center" wrapText="1"/>
      <protection hidden="1"/>
    </xf>
    <xf numFmtId="0" fontId="44" fillId="101" borderId="166" xfId="0" applyFont="1" applyFill="1" applyBorder="1" applyAlignment="1">
      <alignment horizontal="center" vertical="center" wrapText="1"/>
    </xf>
    <xf numFmtId="0" fontId="44" fillId="101" borderId="167" xfId="0" applyFont="1" applyFill="1" applyBorder="1" applyAlignment="1">
      <alignment horizontal="center" vertical="center" wrapText="1"/>
    </xf>
    <xf numFmtId="0" fontId="44" fillId="101" borderId="298" xfId="0" applyFont="1" applyFill="1" applyBorder="1" applyAlignment="1">
      <alignment horizontal="center" vertical="center" wrapText="1"/>
    </xf>
    <xf numFmtId="0" fontId="44" fillId="101" borderId="223" xfId="0" applyFont="1" applyFill="1" applyBorder="1" applyAlignment="1">
      <alignment horizontal="center" vertical="center" wrapText="1"/>
    </xf>
    <xf numFmtId="0" fontId="44" fillId="101" borderId="222" xfId="0" applyFont="1" applyFill="1" applyBorder="1" applyAlignment="1">
      <alignment horizontal="center" vertical="center" wrapText="1"/>
    </xf>
    <xf numFmtId="0" fontId="44" fillId="101" borderId="168" xfId="0" applyFont="1" applyFill="1" applyBorder="1" applyAlignment="1">
      <alignment horizontal="center" vertical="center" wrapText="1"/>
    </xf>
    <xf numFmtId="0" fontId="247" fillId="101" borderId="166" xfId="0" applyFont="1" applyFill="1" applyBorder="1" applyAlignment="1">
      <alignment horizontal="center" vertical="center" wrapText="1"/>
    </xf>
    <xf numFmtId="0" fontId="247" fillId="101" borderId="167" xfId="0" applyFont="1" applyFill="1" applyBorder="1" applyAlignment="1">
      <alignment horizontal="center" vertical="center" wrapText="1"/>
    </xf>
    <xf numFmtId="0" fontId="247" fillId="101" borderId="298" xfId="0" applyFont="1" applyFill="1" applyBorder="1" applyAlignment="1">
      <alignment horizontal="center" vertical="center" wrapText="1"/>
    </xf>
    <xf numFmtId="0" fontId="247" fillId="101" borderId="223" xfId="0" applyFont="1" applyFill="1" applyBorder="1" applyAlignment="1">
      <alignment horizontal="center" vertical="center" wrapText="1"/>
    </xf>
    <xf numFmtId="0" fontId="247" fillId="101" borderId="222" xfId="0" applyFont="1" applyFill="1" applyBorder="1" applyAlignment="1">
      <alignment horizontal="center" vertical="center" wrapText="1"/>
    </xf>
    <xf numFmtId="0" fontId="247" fillId="101" borderId="168" xfId="0" applyFont="1" applyFill="1" applyBorder="1" applyAlignment="1">
      <alignment horizontal="center" vertical="center" wrapText="1"/>
    </xf>
    <xf numFmtId="0" fontId="267" fillId="101" borderId="166" xfId="0" applyFont="1" applyFill="1" applyBorder="1" applyAlignment="1">
      <alignment horizontal="center" vertical="center" wrapText="1"/>
    </xf>
    <xf numFmtId="0" fontId="267" fillId="101" borderId="167" xfId="0" applyFont="1" applyFill="1" applyBorder="1" applyAlignment="1">
      <alignment horizontal="center" vertical="center" wrapText="1"/>
    </xf>
    <xf numFmtId="0" fontId="267" fillId="101" borderId="298" xfId="0" applyFont="1" applyFill="1" applyBorder="1" applyAlignment="1">
      <alignment horizontal="center" vertical="center" wrapText="1"/>
    </xf>
    <xf numFmtId="0" fontId="267" fillId="101" borderId="223" xfId="0" applyFont="1" applyFill="1" applyBorder="1" applyAlignment="1">
      <alignment horizontal="center" vertical="center" wrapText="1"/>
    </xf>
    <xf numFmtId="0" fontId="267" fillId="101" borderId="222" xfId="0" applyFont="1" applyFill="1" applyBorder="1" applyAlignment="1">
      <alignment horizontal="center" vertical="center" wrapText="1"/>
    </xf>
    <xf numFmtId="0" fontId="267" fillId="101" borderId="168" xfId="0" applyFont="1" applyFill="1" applyBorder="1" applyAlignment="1">
      <alignment horizontal="center" vertical="center" wrapText="1"/>
    </xf>
    <xf numFmtId="0" fontId="247" fillId="0" borderId="169" xfId="0" applyFont="1" applyBorder="1" applyAlignment="1">
      <alignment horizontal="center" vertical="center" wrapText="1"/>
    </xf>
    <xf numFmtId="0" fontId="247" fillId="0" borderId="167" xfId="0" applyFont="1" applyBorder="1" applyAlignment="1">
      <alignment horizontal="center" vertical="center" wrapText="1"/>
    </xf>
    <xf numFmtId="0" fontId="247" fillId="0" borderId="0" xfId="0" applyFont="1" applyAlignment="1">
      <alignment horizontal="center" vertical="center" wrapText="1"/>
    </xf>
    <xf numFmtId="0" fontId="247" fillId="0" borderId="223" xfId="0" applyFont="1" applyBorder="1" applyAlignment="1">
      <alignment horizontal="center" vertical="center" wrapText="1"/>
    </xf>
    <xf numFmtId="0" fontId="247" fillId="0" borderId="119" xfId="0" applyFont="1" applyBorder="1" applyAlignment="1">
      <alignment horizontal="center" vertical="center" wrapText="1"/>
    </xf>
    <xf numFmtId="0" fontId="247" fillId="0" borderId="168" xfId="0" applyFont="1" applyBorder="1" applyAlignment="1">
      <alignment horizontal="center" vertical="center" wrapText="1"/>
    </xf>
    <xf numFmtId="0" fontId="247" fillId="0" borderId="55" xfId="0" applyFont="1" applyBorder="1" applyAlignment="1" applyProtection="1">
      <alignment horizontal="center" vertical="center" wrapText="1"/>
      <protection hidden="1"/>
    </xf>
    <xf numFmtId="0" fontId="247" fillId="0" borderId="57" xfId="0" applyFont="1" applyBorder="1" applyAlignment="1" applyProtection="1">
      <alignment horizontal="center" vertical="center" wrapText="1"/>
      <protection hidden="1"/>
    </xf>
    <xf numFmtId="0" fontId="247" fillId="0" borderId="164" xfId="0" applyFont="1" applyBorder="1" applyAlignment="1">
      <alignment horizontal="center" vertical="center" wrapText="1"/>
    </xf>
    <xf numFmtId="0" fontId="26" fillId="0" borderId="164" xfId="0" applyFont="1" applyBorder="1"/>
    <xf numFmtId="0" fontId="247" fillId="104" borderId="164" xfId="0" applyFont="1" applyFill="1" applyBorder="1" applyAlignment="1">
      <alignment horizontal="center" vertical="center" wrapText="1"/>
    </xf>
    <xf numFmtId="0" fontId="26" fillId="2" borderId="164" xfId="0" applyFont="1" applyFill="1" applyBorder="1"/>
    <xf numFmtId="0" fontId="246" fillId="0" borderId="164" xfId="0" applyFont="1" applyBorder="1" applyAlignment="1" applyProtection="1">
      <alignment horizontal="right" vertical="center" wrapText="1"/>
      <protection hidden="1"/>
    </xf>
    <xf numFmtId="0" fontId="26" fillId="0" borderId="164" xfId="0" applyFont="1" applyBorder="1" applyProtection="1">
      <protection hidden="1"/>
    </xf>
    <xf numFmtId="0" fontId="47" fillId="0" borderId="0" xfId="0" applyFont="1" applyAlignment="1">
      <alignment horizontal="center" vertical="center" wrapText="1"/>
    </xf>
    <xf numFmtId="0" fontId="0" fillId="0" borderId="0" xfId="0"/>
    <xf numFmtId="0" fontId="262" fillId="0" borderId="0" xfId="0" applyFont="1" applyAlignment="1">
      <alignment horizontal="center" vertical="center" wrapText="1"/>
    </xf>
    <xf numFmtId="0" fontId="262" fillId="13" borderId="0" xfId="0" applyFont="1" applyFill="1" applyAlignment="1" applyProtection="1">
      <alignment horizontal="center" vertical="center" wrapText="1"/>
      <protection locked="0"/>
    </xf>
    <xf numFmtId="0" fontId="26" fillId="0" borderId="0" xfId="0" applyFont="1" applyProtection="1">
      <protection locked="0"/>
    </xf>
    <xf numFmtId="0" fontId="249" fillId="0" borderId="164" xfId="0" applyFont="1" applyBorder="1" applyAlignment="1">
      <alignment horizontal="center" vertical="center" wrapText="1"/>
    </xf>
    <xf numFmtId="0" fontId="262" fillId="0" borderId="164" xfId="0" applyFont="1" applyBorder="1" applyAlignment="1" applyProtection="1">
      <alignment horizontal="center" vertical="center" wrapText="1"/>
      <protection hidden="1"/>
    </xf>
    <xf numFmtId="0" fontId="262" fillId="13" borderId="164" xfId="0" applyFont="1" applyFill="1" applyBorder="1" applyAlignment="1" applyProtection="1">
      <alignment horizontal="center" vertical="center" wrapText="1"/>
      <protection locked="0"/>
    </xf>
    <xf numFmtId="0" fontId="26" fillId="0" borderId="164" xfId="0" applyFont="1" applyBorder="1" applyProtection="1">
      <protection locked="0"/>
    </xf>
    <xf numFmtId="0" fontId="262" fillId="0" borderId="164" xfId="0" applyFont="1" applyBorder="1" applyAlignment="1">
      <alignment horizontal="center" vertical="center" wrapText="1"/>
    </xf>
    <xf numFmtId="0" fontId="249" fillId="102" borderId="164" xfId="0" applyFont="1" applyFill="1" applyBorder="1" applyAlignment="1">
      <alignment horizontal="center" vertical="center" wrapText="1"/>
    </xf>
    <xf numFmtId="0" fontId="26" fillId="18" borderId="164" xfId="0" applyFont="1" applyFill="1" applyBorder="1"/>
    <xf numFmtId="0" fontId="209" fillId="0" borderId="164" xfId="0" applyFont="1" applyBorder="1" applyAlignment="1" applyProtection="1">
      <alignment horizontal="center" vertical="center" wrapText="1"/>
      <protection hidden="1"/>
    </xf>
    <xf numFmtId="0" fontId="246" fillId="0" borderId="164" xfId="0" applyFont="1" applyBorder="1" applyAlignment="1">
      <alignment horizontal="center" vertical="center" wrapText="1"/>
    </xf>
    <xf numFmtId="0" fontId="247" fillId="13" borderId="164" xfId="0" applyFont="1" applyFill="1" applyBorder="1" applyAlignment="1" applyProtection="1">
      <alignment horizontal="center" vertical="center" wrapText="1"/>
      <protection locked="0" hidden="1"/>
    </xf>
    <xf numFmtId="0" fontId="209" fillId="13" borderId="164" xfId="0" applyFont="1" applyFill="1" applyBorder="1" applyAlignment="1">
      <alignment horizontal="center" vertical="center" wrapText="1"/>
    </xf>
    <xf numFmtId="49" fontId="250" fillId="0" borderId="164" xfId="0" applyNumberFormat="1" applyFont="1" applyBorder="1" applyAlignment="1">
      <alignment horizontal="center" vertical="center" wrapText="1"/>
    </xf>
    <xf numFmtId="49" fontId="262" fillId="0" borderId="164" xfId="0" applyNumberFormat="1" applyFont="1" applyBorder="1" applyAlignment="1">
      <alignment horizontal="center" vertical="center" wrapText="1"/>
    </xf>
    <xf numFmtId="2" fontId="44" fillId="0" borderId="164" xfId="0" applyNumberFormat="1" applyFont="1" applyBorder="1" applyAlignment="1" applyProtection="1">
      <alignment horizontal="right" vertical="center" wrapText="1"/>
      <protection hidden="1"/>
    </xf>
    <xf numFmtId="0" fontId="247" fillId="0" borderId="164" xfId="0" applyFont="1" applyBorder="1" applyAlignment="1" applyProtection="1">
      <alignment horizontal="center" vertical="center" wrapText="1"/>
      <protection locked="0" hidden="1"/>
    </xf>
    <xf numFmtId="49" fontId="247" fillId="0" borderId="164" xfId="0" applyNumberFormat="1" applyFont="1" applyBorder="1" applyAlignment="1" applyProtection="1">
      <alignment horizontal="center" vertical="center" wrapText="1"/>
      <protection locked="0"/>
    </xf>
    <xf numFmtId="0" fontId="247" fillId="0" borderId="164" xfId="0" applyFont="1" applyBorder="1" applyAlignment="1" applyProtection="1">
      <alignment horizontal="center" vertical="center" wrapText="1"/>
      <protection hidden="1"/>
    </xf>
    <xf numFmtId="0" fontId="262" fillId="0" borderId="164" xfId="0" applyFont="1" applyBorder="1" applyAlignment="1" applyProtection="1">
      <alignment horizontal="center" vertical="center" wrapText="1"/>
      <protection locked="0"/>
    </xf>
    <xf numFmtId="0" fontId="44" fillId="0" borderId="164" xfId="0" applyFont="1" applyBorder="1" applyAlignment="1" applyProtection="1">
      <alignment horizontal="center" vertical="center" wrapText="1"/>
      <protection locked="0"/>
    </xf>
    <xf numFmtId="0" fontId="209" fillId="102" borderId="164" xfId="0" applyFont="1" applyFill="1" applyBorder="1" applyAlignment="1" applyProtection="1">
      <alignment horizontal="center" vertical="center" wrapText="1"/>
      <protection locked="0"/>
    </xf>
    <xf numFmtId="0" fontId="26" fillId="18" borderId="164" xfId="0" applyFont="1" applyFill="1" applyBorder="1" applyProtection="1">
      <protection locked="0"/>
    </xf>
    <xf numFmtId="0" fontId="44" fillId="102" borderId="164" xfId="0" applyFont="1" applyFill="1" applyBorder="1" applyAlignment="1" applyProtection="1">
      <alignment horizontal="center" vertical="center" wrapText="1"/>
      <protection locked="0"/>
    </xf>
    <xf numFmtId="0" fontId="264" fillId="102" borderId="164" xfId="0" applyFont="1" applyFill="1" applyBorder="1" applyAlignment="1" applyProtection="1">
      <alignment horizontal="center" vertical="center" wrapText="1"/>
      <protection locked="0"/>
    </xf>
    <xf numFmtId="0" fontId="247" fillId="13" borderId="164" xfId="0" applyFont="1" applyFill="1" applyBorder="1" applyAlignment="1" applyProtection="1">
      <alignment horizontal="center" vertical="center" wrapText="1"/>
      <protection locked="0"/>
    </xf>
    <xf numFmtId="49" fontId="247" fillId="13" borderId="164" xfId="0" applyNumberFormat="1" applyFont="1" applyFill="1" applyBorder="1" applyAlignment="1" applyProtection="1">
      <alignment horizontal="center" vertical="center" wrapText="1"/>
      <protection locked="0"/>
    </xf>
    <xf numFmtId="0" fontId="209" fillId="0" borderId="164" xfId="0" applyFont="1" applyBorder="1" applyAlignment="1" applyProtection="1">
      <alignment horizontal="center" vertical="center" wrapText="1"/>
      <protection locked="0"/>
    </xf>
    <xf numFmtId="0" fontId="247" fillId="0" borderId="164" xfId="0" applyFont="1" applyBorder="1" applyAlignment="1" applyProtection="1">
      <alignment horizontal="center" vertical="center" wrapText="1"/>
      <protection locked="0"/>
    </xf>
    <xf numFmtId="0" fontId="251" fillId="0" borderId="164" xfId="0" applyFont="1" applyBorder="1" applyAlignment="1" applyProtection="1">
      <alignment horizontal="center"/>
      <protection locked="0"/>
    </xf>
    <xf numFmtId="49" fontId="55" fillId="0" borderId="164" xfId="0" applyNumberFormat="1" applyFont="1" applyBorder="1" applyAlignment="1" applyProtection="1">
      <alignment horizontal="center"/>
      <protection locked="0"/>
    </xf>
    <xf numFmtId="0" fontId="47" fillId="0" borderId="164" xfId="0" applyFont="1" applyBorder="1" applyAlignment="1">
      <alignment horizontal="center" wrapText="1"/>
    </xf>
    <xf numFmtId="0" fontId="246" fillId="0" borderId="0" xfId="0" applyFont="1" applyAlignment="1" applyProtection="1">
      <alignment horizontal="center" vertical="center" wrapText="1"/>
      <protection hidden="1"/>
    </xf>
    <xf numFmtId="0" fontId="0" fillId="0" borderId="0" xfId="0" applyProtection="1">
      <protection hidden="1"/>
    </xf>
    <xf numFmtId="0" fontId="246" fillId="0" borderId="0" xfId="0" applyFont="1" applyAlignment="1">
      <alignment horizontal="center" vertical="center" wrapText="1"/>
    </xf>
    <xf numFmtId="0" fontId="0" fillId="0" borderId="223" xfId="0" applyBorder="1"/>
    <xf numFmtId="0" fontId="246" fillId="0" borderId="298" xfId="0" applyFont="1" applyBorder="1" applyAlignment="1">
      <alignment horizontal="center" vertical="center" wrapText="1"/>
    </xf>
    <xf numFmtId="0" fontId="249" fillId="0" borderId="0" xfId="0" applyFont="1" applyAlignment="1">
      <alignment horizontal="center" vertical="center" wrapText="1"/>
    </xf>
    <xf numFmtId="0" fontId="249" fillId="0" borderId="298" xfId="0" applyFont="1" applyBorder="1" applyAlignment="1">
      <alignment horizontal="left" vertical="center" wrapText="1"/>
    </xf>
    <xf numFmtId="0" fontId="247" fillId="0" borderId="0" xfId="0" applyFont="1" applyAlignment="1" applyProtection="1">
      <alignment horizontal="center" vertical="center" wrapText="1"/>
      <protection hidden="1"/>
    </xf>
    <xf numFmtId="0" fontId="249" fillId="0" borderId="0" xfId="0" applyFont="1" applyAlignment="1" applyProtection="1">
      <alignment horizontal="left" vertical="center" wrapText="1"/>
      <protection hidden="1"/>
    </xf>
    <xf numFmtId="0" fontId="0" fillId="0" borderId="223" xfId="0" applyBorder="1" applyProtection="1">
      <protection hidden="1"/>
    </xf>
    <xf numFmtId="0" fontId="262" fillId="0" borderId="298" xfId="0" applyFont="1" applyBorder="1" applyAlignment="1">
      <alignment horizontal="center" vertical="center" wrapText="1"/>
    </xf>
    <xf numFmtId="0" fontId="246" fillId="0" borderId="0" xfId="0" applyFont="1" applyAlignment="1">
      <alignment horizontal="left" vertical="center" wrapText="1"/>
    </xf>
    <xf numFmtId="0" fontId="246" fillId="0" borderId="298" xfId="0" applyFont="1" applyBorder="1" applyAlignment="1">
      <alignment horizontal="left" vertical="center" wrapText="1"/>
    </xf>
    <xf numFmtId="0" fontId="249" fillId="13" borderId="164" xfId="0" applyFont="1" applyFill="1" applyBorder="1" applyAlignment="1" applyProtection="1">
      <alignment horizontal="center" vertical="center" wrapText="1"/>
      <protection locked="0"/>
    </xf>
    <xf numFmtId="0" fontId="44" fillId="0" borderId="164" xfId="0" applyFont="1" applyBorder="1" applyAlignment="1" applyProtection="1">
      <alignment horizontal="right" vertical="center" wrapText="1"/>
      <protection hidden="1"/>
    </xf>
    <xf numFmtId="0" fontId="209" fillId="0" borderId="164" xfId="0" applyFont="1" applyBorder="1" applyAlignment="1">
      <alignment horizontal="left" vertical="center" wrapText="1"/>
    </xf>
    <xf numFmtId="0" fontId="0" fillId="0" borderId="164" xfId="0" applyBorder="1"/>
    <xf numFmtId="0" fontId="246" fillId="13" borderId="164" xfId="0" applyFont="1" applyFill="1" applyBorder="1" applyAlignment="1">
      <alignment horizontal="right" vertical="center" wrapText="1"/>
    </xf>
    <xf numFmtId="0" fontId="262" fillId="101" borderId="164" xfId="0" applyFont="1" applyFill="1" applyBorder="1" applyAlignment="1">
      <alignment horizontal="center" vertical="center" wrapText="1"/>
    </xf>
    <xf numFmtId="0" fontId="44" fillId="101" borderId="164" xfId="0" applyFont="1" applyFill="1" applyBorder="1" applyAlignment="1">
      <alignment horizontal="right" vertical="center" wrapText="1"/>
    </xf>
    <xf numFmtId="0" fontId="92" fillId="101" borderId="164" xfId="0" applyFont="1" applyFill="1" applyBorder="1" applyAlignment="1">
      <alignment horizontal="right" vertical="center" wrapText="1"/>
    </xf>
    <xf numFmtId="2" fontId="246" fillId="0" borderId="164" xfId="0" applyNumberFormat="1" applyFont="1" applyBorder="1" applyAlignment="1" applyProtection="1">
      <alignment horizontal="right" vertical="center" wrapText="1"/>
      <protection hidden="1"/>
    </xf>
    <xf numFmtId="0" fontId="246" fillId="0" borderId="164" xfId="0" applyFont="1" applyBorder="1" applyAlignment="1">
      <alignment horizontal="left" vertical="center" wrapText="1"/>
    </xf>
    <xf numFmtId="0" fontId="247" fillId="0" borderId="164" xfId="0" applyFont="1" applyBorder="1" applyAlignment="1">
      <alignment horizontal="left" vertical="center" wrapText="1"/>
    </xf>
    <xf numFmtId="0" fontId="249" fillId="0" borderId="164" xfId="0" applyFont="1" applyBorder="1" applyAlignment="1">
      <alignment horizontal="right" vertical="center" wrapText="1"/>
    </xf>
    <xf numFmtId="0" fontId="247" fillId="0" borderId="55" xfId="0" applyFont="1" applyBorder="1" applyAlignment="1">
      <alignment horizontal="left" vertical="center" wrapText="1"/>
    </xf>
    <xf numFmtId="0" fontId="247" fillId="0" borderId="56" xfId="0" applyFont="1" applyBorder="1" applyAlignment="1">
      <alignment horizontal="left" vertical="center" wrapText="1"/>
    </xf>
    <xf numFmtId="0" fontId="246" fillId="101" borderId="164" xfId="0" applyFont="1" applyFill="1" applyBorder="1" applyAlignment="1">
      <alignment horizontal="right" vertical="center" wrapText="1"/>
    </xf>
    <xf numFmtId="0" fontId="262" fillId="0" borderId="164" xfId="0" applyFont="1" applyBorder="1" applyAlignment="1" applyProtection="1">
      <alignment horizontal="right" vertical="center" wrapText="1"/>
      <protection hidden="1"/>
    </xf>
    <xf numFmtId="2" fontId="247" fillId="0" borderId="164" xfId="0" applyNumberFormat="1" applyFont="1" applyBorder="1" applyAlignment="1" applyProtection="1">
      <alignment horizontal="right" vertical="center" wrapText="1"/>
      <protection hidden="1"/>
    </xf>
    <xf numFmtId="0" fontId="264" fillId="102" borderId="164" xfId="0" applyFont="1" applyFill="1" applyBorder="1" applyAlignment="1">
      <alignment horizontal="center" vertical="center" wrapText="1"/>
    </xf>
    <xf numFmtId="0" fontId="262" fillId="102" borderId="164" xfId="0" applyFont="1" applyFill="1" applyBorder="1" applyAlignment="1">
      <alignment horizontal="left" vertical="center" wrapText="1"/>
    </xf>
    <xf numFmtId="0" fontId="47" fillId="102" borderId="164" xfId="0" applyFont="1" applyFill="1" applyBorder="1" applyAlignment="1">
      <alignment horizontal="center" vertical="center" wrapText="1"/>
    </xf>
    <xf numFmtId="0" fontId="0" fillId="0" borderId="164" xfId="0" applyBorder="1" applyAlignment="1">
      <alignment horizontal="center"/>
    </xf>
    <xf numFmtId="0" fontId="264" fillId="105" borderId="143" xfId="0" applyFont="1" applyFill="1" applyBorder="1" applyAlignment="1" applyProtection="1">
      <alignment horizontal="center" vertical="center" wrapText="1"/>
      <protection locked="0"/>
    </xf>
    <xf numFmtId="0" fontId="264" fillId="105" borderId="144" xfId="0" applyFont="1" applyFill="1" applyBorder="1" applyAlignment="1" applyProtection="1">
      <alignment horizontal="center" vertical="center" wrapText="1"/>
      <protection locked="0"/>
    </xf>
    <xf numFmtId="0" fontId="264" fillId="105" borderId="145" xfId="0" applyFont="1" applyFill="1" applyBorder="1" applyAlignment="1" applyProtection="1">
      <alignment horizontal="center" vertical="center" wrapText="1"/>
      <protection locked="0"/>
    </xf>
    <xf numFmtId="0" fontId="26" fillId="0" borderId="164" xfId="0" applyFont="1" applyBorder="1" applyAlignment="1">
      <alignment horizontal="center"/>
    </xf>
    <xf numFmtId="0" fontId="0" fillId="43" borderId="144" xfId="0" applyFill="1" applyBorder="1" applyAlignment="1" applyProtection="1">
      <alignment horizontal="center"/>
      <protection locked="0"/>
    </xf>
    <xf numFmtId="0" fontId="0" fillId="43" borderId="145" xfId="0" applyFill="1" applyBorder="1" applyAlignment="1" applyProtection="1">
      <alignment horizontal="center"/>
      <protection locked="0"/>
    </xf>
    <xf numFmtId="0" fontId="271" fillId="0" borderId="146" xfId="0" applyFont="1" applyBorder="1" applyAlignment="1">
      <alignment horizontal="center" vertical="center" wrapText="1"/>
    </xf>
    <xf numFmtId="0" fontId="26" fillId="0" borderId="147" xfId="0" applyFont="1" applyBorder="1"/>
    <xf numFmtId="0" fontId="26" fillId="0" borderId="148" xfId="0" applyFont="1" applyBorder="1"/>
    <xf numFmtId="0" fontId="26" fillId="0" borderId="152" xfId="0" applyFont="1" applyBorder="1"/>
    <xf numFmtId="0" fontId="26" fillId="0" borderId="153" xfId="0" applyFont="1" applyBorder="1"/>
    <xf numFmtId="0" fontId="26" fillId="0" borderId="149" xfId="0" applyFont="1" applyBorder="1"/>
    <xf numFmtId="0" fontId="26" fillId="0" borderId="150" xfId="0" applyFont="1" applyBorder="1"/>
    <xf numFmtId="0" fontId="26" fillId="0" borderId="151" xfId="0" applyFont="1" applyBorder="1"/>
    <xf numFmtId="0" fontId="276" fillId="103" borderId="146" xfId="0" applyFont="1" applyFill="1" applyBorder="1" applyAlignment="1">
      <alignment horizontal="center" vertical="center" wrapText="1"/>
    </xf>
    <xf numFmtId="0" fontId="26" fillId="18" borderId="147" xfId="0" applyFont="1" applyFill="1" applyBorder="1"/>
    <xf numFmtId="0" fontId="26" fillId="18" borderId="148" xfId="0" applyFont="1" applyFill="1" applyBorder="1"/>
    <xf numFmtId="0" fontId="26" fillId="18" borderId="152" xfId="0" applyFont="1" applyFill="1" applyBorder="1"/>
    <xf numFmtId="0" fontId="0" fillId="18" borderId="0" xfId="0" applyFill="1"/>
    <xf numFmtId="0" fontId="26" fillId="18" borderId="153" xfId="0" applyFont="1" applyFill="1" applyBorder="1"/>
    <xf numFmtId="0" fontId="26" fillId="18" borderId="149" xfId="0" applyFont="1" applyFill="1" applyBorder="1"/>
    <xf numFmtId="0" fontId="26" fillId="18" borderId="150" xfId="0" applyFont="1" applyFill="1" applyBorder="1"/>
    <xf numFmtId="0" fontId="26" fillId="18" borderId="151" xfId="0" applyFont="1" applyFill="1" applyBorder="1"/>
    <xf numFmtId="0" fontId="280" fillId="105" borderId="297" xfId="0" applyFont="1" applyFill="1" applyBorder="1" applyAlignment="1">
      <alignment horizontal="center" vertical="center" wrapText="1"/>
    </xf>
    <xf numFmtId="0" fontId="280" fillId="105" borderId="0" xfId="0" applyFont="1" applyFill="1" applyAlignment="1">
      <alignment horizontal="center" vertical="center" wrapText="1"/>
    </xf>
    <xf numFmtId="0" fontId="282" fillId="106" borderId="146" xfId="0" applyFont="1" applyFill="1" applyBorder="1" applyAlignment="1">
      <alignment horizontal="center" vertical="center" wrapText="1"/>
    </xf>
    <xf numFmtId="0" fontId="282" fillId="106" borderId="147" xfId="0" applyFont="1" applyFill="1" applyBorder="1" applyAlignment="1">
      <alignment horizontal="center" vertical="center" wrapText="1"/>
    </xf>
    <xf numFmtId="0" fontId="282" fillId="106" borderId="148" xfId="0" applyFont="1" applyFill="1" applyBorder="1" applyAlignment="1">
      <alignment horizontal="center" vertical="center" wrapText="1"/>
    </xf>
    <xf numFmtId="0" fontId="282" fillId="106" borderId="152" xfId="0" applyFont="1" applyFill="1" applyBorder="1" applyAlignment="1">
      <alignment horizontal="center" vertical="center" wrapText="1"/>
    </xf>
    <xf numFmtId="0" fontId="282" fillId="106" borderId="0" xfId="0" applyFont="1" applyFill="1" applyAlignment="1">
      <alignment horizontal="center" vertical="center" wrapText="1"/>
    </xf>
    <xf numFmtId="0" fontId="282" fillId="106" borderId="153" xfId="0" applyFont="1" applyFill="1" applyBorder="1" applyAlignment="1">
      <alignment horizontal="center" vertical="center" wrapText="1"/>
    </xf>
    <xf numFmtId="0" fontId="282" fillId="106" borderId="149" xfId="0" applyFont="1" applyFill="1" applyBorder="1" applyAlignment="1">
      <alignment horizontal="center" vertical="center" wrapText="1"/>
    </xf>
    <xf numFmtId="0" fontId="282" fillId="106" borderId="150" xfId="0" applyFont="1" applyFill="1" applyBorder="1" applyAlignment="1">
      <alignment horizontal="center" vertical="center" wrapText="1"/>
    </xf>
    <xf numFmtId="0" fontId="282" fillId="106" borderId="151" xfId="0" applyFont="1" applyFill="1" applyBorder="1" applyAlignment="1">
      <alignment horizontal="center" vertical="center" wrapText="1"/>
    </xf>
    <xf numFmtId="0" fontId="249" fillId="0" borderId="0" xfId="0" applyFont="1" applyAlignment="1">
      <alignment horizontal="left" vertical="top" wrapText="1"/>
    </xf>
    <xf numFmtId="0" fontId="249" fillId="0" borderId="0" xfId="0" applyFont="1" applyAlignment="1">
      <alignment horizontal="left" vertical="center" wrapText="1"/>
    </xf>
    <xf numFmtId="0" fontId="247" fillId="0" borderId="0" xfId="0" applyFont="1" applyAlignment="1" applyProtection="1">
      <alignment horizontal="left" vertical="center" wrapText="1"/>
      <protection hidden="1"/>
    </xf>
    <xf numFmtId="0" fontId="47" fillId="0" borderId="0" xfId="0" applyFont="1" applyAlignment="1">
      <alignment horizontal="left" vertical="center" wrapText="1"/>
    </xf>
    <xf numFmtId="0" fontId="249" fillId="0" borderId="266" xfId="0" applyFont="1" applyBorder="1" applyAlignment="1">
      <alignment horizontal="center" vertical="center" wrapText="1"/>
    </xf>
    <xf numFmtId="0" fontId="47" fillId="0" borderId="0" xfId="0" applyFont="1" applyAlignment="1">
      <alignment horizontal="center" wrapText="1"/>
    </xf>
    <xf numFmtId="0" fontId="247" fillId="14" borderId="19" xfId="0" applyFont="1" applyFill="1" applyBorder="1" applyAlignment="1">
      <alignment horizontal="center" vertical="top"/>
    </xf>
    <xf numFmtId="0" fontId="247" fillId="14" borderId="0" xfId="0" applyFont="1" applyFill="1" applyAlignment="1">
      <alignment horizontal="center" vertical="top"/>
    </xf>
    <xf numFmtId="0" fontId="36" fillId="0" borderId="242" xfId="0" applyFont="1" applyBorder="1" applyAlignment="1">
      <alignment horizontal="center" vertical="center"/>
    </xf>
    <xf numFmtId="0" fontId="36" fillId="0" borderId="232" xfId="0" applyFont="1" applyBorder="1" applyAlignment="1">
      <alignment horizontal="center" vertical="center"/>
    </xf>
    <xf numFmtId="0" fontId="36" fillId="0" borderId="235" xfId="0" applyFont="1" applyBorder="1" applyAlignment="1">
      <alignment horizontal="center" vertical="center"/>
    </xf>
    <xf numFmtId="0" fontId="259" fillId="94" borderId="224" xfId="0" applyFont="1" applyFill="1" applyBorder="1" applyAlignment="1">
      <alignment horizontal="center" vertical="center"/>
    </xf>
    <xf numFmtId="0" fontId="96" fillId="0" borderId="225" xfId="0" applyFont="1" applyBorder="1"/>
    <xf numFmtId="0" fontId="96" fillId="0" borderId="226" xfId="0" applyFont="1" applyBorder="1"/>
    <xf numFmtId="0" fontId="260" fillId="13" borderId="228" xfId="0" applyFont="1" applyFill="1" applyBorder="1" applyAlignment="1">
      <alignment horizontal="center" vertical="center" wrapText="1"/>
    </xf>
    <xf numFmtId="0" fontId="96" fillId="0" borderId="229" xfId="0" applyFont="1" applyBorder="1"/>
    <xf numFmtId="0" fontId="96" fillId="0" borderId="230" xfId="0" applyFont="1" applyBorder="1"/>
    <xf numFmtId="0" fontId="96" fillId="0" borderId="237" xfId="0" applyFont="1" applyBorder="1"/>
    <xf numFmtId="0" fontId="96" fillId="0" borderId="238" xfId="0" applyFont="1" applyBorder="1"/>
    <xf numFmtId="0" fontId="96" fillId="0" borderId="239" xfId="0" applyFont="1" applyBorder="1"/>
    <xf numFmtId="0" fontId="258" fillId="0" borderId="231" xfId="0" applyFont="1" applyBorder="1" applyAlignment="1">
      <alignment horizontal="center" vertical="center"/>
    </xf>
    <xf numFmtId="0" fontId="254" fillId="0" borderId="232" xfId="0" applyFont="1" applyBorder="1"/>
    <xf numFmtId="0" fontId="254" fillId="0" borderId="233" xfId="0" applyFont="1" applyBorder="1"/>
    <xf numFmtId="49" fontId="245" fillId="0" borderId="234" xfId="0" applyNumberFormat="1" applyFont="1" applyBorder="1" applyAlignment="1">
      <alignment horizontal="center" vertical="center" wrapText="1"/>
    </xf>
    <xf numFmtId="0" fontId="26" fillId="0" borderId="232" xfId="0" applyFont="1" applyBorder="1"/>
    <xf numFmtId="0" fontId="26" fillId="0" borderId="235" xfId="0" applyFont="1" applyBorder="1"/>
    <xf numFmtId="0" fontId="258" fillId="0" borderId="240" xfId="0" applyFont="1" applyBorder="1" applyAlignment="1">
      <alignment horizontal="center" vertical="center"/>
    </xf>
    <xf numFmtId="0" fontId="254" fillId="0" borderId="238" xfId="0" applyFont="1" applyBorder="1"/>
    <xf numFmtId="0" fontId="254" fillId="0" borderId="241" xfId="0" applyFont="1" applyBorder="1"/>
    <xf numFmtId="49" fontId="246" fillId="0" borderId="234" xfId="0" applyNumberFormat="1" applyFont="1" applyBorder="1" applyAlignment="1">
      <alignment horizontal="center" vertical="center" wrapText="1"/>
    </xf>
    <xf numFmtId="0" fontId="26" fillId="0" borderId="232" xfId="0" applyFont="1" applyBorder="1" applyAlignment="1">
      <alignment horizontal="center"/>
    </xf>
    <xf numFmtId="0" fontId="26" fillId="0" borderId="235" xfId="0" applyFont="1" applyBorder="1" applyAlignment="1">
      <alignment horizontal="center"/>
    </xf>
    <xf numFmtId="49" fontId="245" fillId="0" borderId="234" xfId="0" applyNumberFormat="1" applyFont="1" applyBorder="1" applyAlignment="1">
      <alignment horizontal="center" vertical="center"/>
    </xf>
    <xf numFmtId="49" fontId="245" fillId="0" borderId="232" xfId="0" applyNumberFormat="1" applyFont="1" applyBorder="1" applyAlignment="1">
      <alignment horizontal="center" vertical="center"/>
    </xf>
    <xf numFmtId="49" fontId="245" fillId="0" borderId="233" xfId="0" applyNumberFormat="1" applyFont="1" applyBorder="1" applyAlignment="1">
      <alignment horizontal="center" vertical="center"/>
    </xf>
    <xf numFmtId="0" fontId="244" fillId="0" borderId="243" xfId="0" applyFont="1" applyBorder="1" applyAlignment="1">
      <alignment horizontal="center" vertical="center"/>
    </xf>
    <xf numFmtId="0" fontId="26" fillId="0" borderId="238" xfId="0" applyFont="1" applyBorder="1"/>
    <xf numFmtId="0" fontId="26" fillId="0" borderId="241" xfId="0" applyFont="1" applyBorder="1"/>
    <xf numFmtId="0" fontId="245" fillId="0" borderId="243" xfId="0" applyFont="1" applyBorder="1" applyAlignment="1">
      <alignment horizontal="center" vertical="center"/>
    </xf>
    <xf numFmtId="0" fontId="26" fillId="0" borderId="239" xfId="0" applyFont="1" applyBorder="1"/>
    <xf numFmtId="0" fontId="260" fillId="13" borderId="244" xfId="0" applyFont="1" applyFill="1" applyBorder="1" applyAlignment="1">
      <alignment horizontal="center" vertical="center" wrapText="1"/>
    </xf>
    <xf numFmtId="0" fontId="96" fillId="0" borderId="245" xfId="0" applyFont="1" applyBorder="1"/>
    <xf numFmtId="0" fontId="96" fillId="0" borderId="246" xfId="0" applyFont="1" applyBorder="1"/>
    <xf numFmtId="0" fontId="260" fillId="13" borderId="227" xfId="0" applyFont="1" applyFill="1" applyBorder="1" applyAlignment="1">
      <alignment horizontal="center" vertical="center" wrapText="1"/>
    </xf>
    <xf numFmtId="0" fontId="96" fillId="0" borderId="0" xfId="0" applyFont="1"/>
    <xf numFmtId="0" fontId="96" fillId="0" borderId="249" xfId="0" applyFont="1" applyBorder="1"/>
    <xf numFmtId="0" fontId="96" fillId="0" borderId="227" xfId="0" applyFont="1" applyBorder="1"/>
    <xf numFmtId="0" fontId="258" fillId="7" borderId="247" xfId="0" applyFont="1" applyFill="1" applyBorder="1" applyAlignment="1">
      <alignment horizontal="center" vertical="center"/>
    </xf>
    <xf numFmtId="0" fontId="254" fillId="0" borderId="245" xfId="0" applyFont="1" applyBorder="1"/>
    <xf numFmtId="0" fontId="254" fillId="0" borderId="248" xfId="0" applyFont="1" applyBorder="1"/>
    <xf numFmtId="0" fontId="225" fillId="7" borderId="245" xfId="0" applyFont="1" applyFill="1" applyBorder="1" applyAlignment="1">
      <alignment horizontal="center" vertical="center"/>
    </xf>
    <xf numFmtId="0" fontId="254" fillId="0" borderId="246" xfId="0" applyFont="1" applyBorder="1"/>
    <xf numFmtId="0" fontId="96" fillId="0" borderId="265" xfId="0" applyFont="1" applyBorder="1"/>
    <xf numFmtId="0" fontId="96" fillId="0" borderId="262" xfId="0" applyFont="1" applyBorder="1"/>
    <xf numFmtId="0" fontId="96" fillId="0" borderId="264" xfId="0" applyFont="1" applyBorder="1"/>
    <xf numFmtId="0" fontId="245" fillId="0" borderId="240" xfId="0" applyFont="1" applyBorder="1" applyAlignment="1">
      <alignment horizontal="left" vertical="center"/>
    </xf>
    <xf numFmtId="0" fontId="26" fillId="0" borderId="254" xfId="0" applyFont="1" applyBorder="1"/>
    <xf numFmtId="0" fontId="245" fillId="0" borderId="238" xfId="0" applyFont="1" applyBorder="1" applyAlignment="1" applyProtection="1">
      <alignment horizontal="center" vertical="center"/>
      <protection locked="0"/>
    </xf>
    <xf numFmtId="0" fontId="26" fillId="0" borderId="238" xfId="0" applyFont="1" applyBorder="1" applyProtection="1">
      <protection locked="0"/>
    </xf>
    <xf numFmtId="0" fontId="26" fillId="0" borderId="239" xfId="0" applyFont="1" applyBorder="1" applyProtection="1">
      <protection locked="0"/>
    </xf>
    <xf numFmtId="0" fontId="258" fillId="7" borderId="231" xfId="0" applyFont="1" applyFill="1" applyBorder="1" applyAlignment="1">
      <alignment horizontal="center" vertical="center"/>
    </xf>
    <xf numFmtId="0" fontId="254" fillId="0" borderId="257" xfId="0" applyFont="1" applyBorder="1"/>
    <xf numFmtId="0" fontId="225" fillId="7" borderId="232" xfId="0" applyFont="1" applyFill="1" applyBorder="1" applyAlignment="1">
      <alignment horizontal="center" vertical="center"/>
    </xf>
    <xf numFmtId="0" fontId="245" fillId="0" borderId="258" xfId="0" applyFont="1" applyBorder="1" applyAlignment="1">
      <alignment horizontal="left" vertical="center"/>
    </xf>
    <xf numFmtId="0" fontId="26" fillId="0" borderId="259" xfId="0" applyFont="1" applyBorder="1"/>
    <xf numFmtId="0" fontId="26" fillId="0" borderId="260" xfId="0" applyFont="1" applyBorder="1"/>
    <xf numFmtId="0" fontId="247" fillId="14" borderId="71" xfId="0" applyFont="1" applyFill="1" applyBorder="1" applyAlignment="1">
      <alignment horizontal="center" vertical="top"/>
    </xf>
    <xf numFmtId="0" fontId="247" fillId="14" borderId="269" xfId="0" applyFont="1" applyFill="1" applyBorder="1" applyAlignment="1">
      <alignment horizontal="center" vertical="top"/>
    </xf>
    <xf numFmtId="0" fontId="247" fillId="14" borderId="72" xfId="0" applyFont="1" applyFill="1" applyBorder="1" applyAlignment="1">
      <alignment horizontal="center" vertical="top"/>
    </xf>
    <xf numFmtId="0" fontId="245" fillId="17" borderId="255" xfId="0" applyFont="1" applyFill="1" applyBorder="1" applyAlignment="1">
      <alignment horizontal="center" vertical="center"/>
    </xf>
    <xf numFmtId="0" fontId="245" fillId="17" borderId="0" xfId="0" applyFont="1" applyFill="1" applyAlignment="1">
      <alignment horizontal="center" vertical="center"/>
    </xf>
    <xf numFmtId="0" fontId="245" fillId="17" borderId="249" xfId="0" applyFont="1" applyFill="1" applyBorder="1" applyAlignment="1">
      <alignment horizontal="center" vertical="center"/>
    </xf>
    <xf numFmtId="0" fontId="245" fillId="0" borderId="261" xfId="0" applyFont="1" applyBorder="1" applyAlignment="1">
      <alignment horizontal="left" vertical="center" wrapText="1"/>
    </xf>
    <xf numFmtId="0" fontId="26" fillId="0" borderId="262" xfId="0" applyFont="1" applyBorder="1"/>
    <xf numFmtId="0" fontId="26" fillId="0" borderId="263" xfId="0" applyFont="1" applyBorder="1"/>
    <xf numFmtId="0" fontId="35" fillId="0" borderId="238" xfId="0" applyFont="1" applyBorder="1" applyAlignment="1">
      <alignment horizontal="center" vertical="center"/>
    </xf>
    <xf numFmtId="0" fontId="256" fillId="0" borderId="238" xfId="0" applyFont="1" applyBorder="1"/>
    <xf numFmtId="0" fontId="256" fillId="0" borderId="239" xfId="0" applyFont="1" applyBorder="1"/>
    <xf numFmtId="0" fontId="258" fillId="7" borderId="255" xfId="0" applyFont="1" applyFill="1" applyBorder="1" applyAlignment="1">
      <alignment horizontal="center" vertical="center"/>
    </xf>
    <xf numFmtId="0" fontId="254" fillId="0" borderId="0" xfId="0" applyFont="1"/>
    <xf numFmtId="0" fontId="254" fillId="0" borderId="256" xfId="0" applyFont="1" applyBorder="1"/>
    <xf numFmtId="0" fontId="225" fillId="7" borderId="0" xfId="0" applyFont="1" applyFill="1" applyAlignment="1">
      <alignment horizontal="center" vertical="center"/>
    </xf>
    <xf numFmtId="0" fontId="254" fillId="0" borderId="249" xfId="0" applyFont="1" applyBorder="1"/>
    <xf numFmtId="0" fontId="245" fillId="0" borderId="250" xfId="0" applyFont="1" applyBorder="1" applyAlignment="1">
      <alignment horizontal="left" vertical="center"/>
    </xf>
    <xf numFmtId="0" fontId="26" fillId="0" borderId="251" xfId="0" applyFont="1" applyBorder="1"/>
    <xf numFmtId="0" fontId="26" fillId="0" borderId="252" xfId="0" applyFont="1" applyBorder="1"/>
    <xf numFmtId="0" fontId="245" fillId="0" borderId="251" xfId="0" applyFont="1" applyBorder="1" applyAlignment="1" applyProtection="1">
      <alignment horizontal="center" vertical="center"/>
      <protection locked="0"/>
    </xf>
    <xf numFmtId="0" fontId="26" fillId="0" borderId="251" xfId="0" applyFont="1" applyBorder="1" applyProtection="1">
      <protection locked="0"/>
    </xf>
    <xf numFmtId="0" fontId="26" fillId="0" borderId="253" xfId="0" applyFont="1" applyBorder="1" applyProtection="1">
      <protection locked="0"/>
    </xf>
    <xf numFmtId="0" fontId="254" fillId="0" borderId="235" xfId="0" applyFont="1" applyBorder="1"/>
    <xf numFmtId="0" fontId="245" fillId="0" borderId="259" xfId="0" applyFont="1" applyBorder="1" applyAlignment="1" applyProtection="1">
      <alignment horizontal="center" vertical="center"/>
      <protection locked="0"/>
    </xf>
    <xf numFmtId="0" fontId="26" fillId="0" borderId="259" xfId="0" applyFont="1" applyBorder="1" applyProtection="1">
      <protection locked="0"/>
    </xf>
    <xf numFmtId="0" fontId="261" fillId="96" borderId="304" xfId="0" applyFont="1" applyFill="1" applyBorder="1" applyAlignment="1">
      <alignment horizontal="center" vertical="center" wrapText="1"/>
    </xf>
    <xf numFmtId="0" fontId="261" fillId="96" borderId="236" xfId="0" applyFont="1" applyFill="1" applyBorder="1" applyAlignment="1">
      <alignment horizontal="center" vertical="center" wrapText="1"/>
    </xf>
    <xf numFmtId="170" fontId="181" fillId="78" borderId="4" xfId="0" applyNumberFormat="1" applyFont="1" applyFill="1" applyBorder="1" applyAlignment="1">
      <alignment horizontal="center" vertical="center" wrapText="1"/>
    </xf>
    <xf numFmtId="0" fontId="176" fillId="111" borderId="25" xfId="0" applyFont="1" applyFill="1" applyBorder="1" applyAlignment="1">
      <alignment horizontal="center"/>
    </xf>
    <xf numFmtId="0" fontId="176" fillId="111" borderId="26" xfId="0" applyFont="1" applyFill="1" applyBorder="1" applyAlignment="1">
      <alignment horizontal="center"/>
    </xf>
    <xf numFmtId="0" fontId="176" fillId="111" borderId="32" xfId="0" applyFont="1" applyFill="1" applyBorder="1" applyAlignment="1">
      <alignment horizontal="center"/>
    </xf>
    <xf numFmtId="0" fontId="40" fillId="43" borderId="164" xfId="0" applyFont="1" applyFill="1" applyBorder="1" applyAlignment="1">
      <alignment horizontal="center" wrapText="1"/>
    </xf>
    <xf numFmtId="0" fontId="0" fillId="43" borderId="164" xfId="0" applyFill="1" applyBorder="1" applyAlignment="1">
      <alignment horizontal="center" wrapText="1"/>
    </xf>
    <xf numFmtId="0" fontId="0" fillId="67" borderId="270" xfId="0" applyFill="1" applyBorder="1" applyAlignment="1">
      <alignment horizontal="center"/>
    </xf>
    <xf numFmtId="0" fontId="0" fillId="67" borderId="42" xfId="0" applyFill="1" applyBorder="1" applyAlignment="1">
      <alignment horizontal="center"/>
    </xf>
    <xf numFmtId="0" fontId="0" fillId="67" borderId="271" xfId="0" applyFill="1" applyBorder="1" applyAlignment="1">
      <alignment horizontal="center"/>
    </xf>
    <xf numFmtId="0" fontId="0" fillId="67" borderId="272" xfId="0" applyFill="1" applyBorder="1" applyAlignment="1">
      <alignment horizontal="center"/>
    </xf>
    <xf numFmtId="0" fontId="0" fillId="67" borderId="273" xfId="0" applyFill="1" applyBorder="1" applyAlignment="1">
      <alignment horizontal="center"/>
    </xf>
    <xf numFmtId="0" fontId="0" fillId="67" borderId="274" xfId="0" applyFill="1" applyBorder="1" applyAlignment="1">
      <alignment horizontal="center"/>
    </xf>
    <xf numFmtId="14" fontId="247" fillId="97" borderId="0" xfId="0" applyNumberFormat="1" applyFont="1" applyFill="1" applyAlignment="1" applyProtection="1">
      <alignment horizontal="center" vertical="center"/>
      <protection locked="0"/>
    </xf>
    <xf numFmtId="0" fontId="44" fillId="0" borderId="49" xfId="0" applyFont="1" applyBorder="1" applyAlignment="1">
      <alignment horizontal="left" vertical="center" wrapText="1"/>
    </xf>
    <xf numFmtId="0" fontId="26" fillId="0" borderId="276" xfId="0" applyFont="1" applyBorder="1"/>
    <xf numFmtId="0" fontId="68" fillId="0" borderId="280" xfId="0" applyFont="1" applyBorder="1" applyAlignment="1">
      <alignment horizontal="center" vertical="center"/>
    </xf>
    <xf numFmtId="0" fontId="96" fillId="0" borderId="281" xfId="0" applyFont="1" applyBorder="1"/>
    <xf numFmtId="0" fontId="96" fillId="0" borderId="282" xfId="0" applyFont="1" applyBorder="1"/>
    <xf numFmtId="0" fontId="96" fillId="0" borderId="275" xfId="0" applyFont="1" applyBorder="1"/>
    <xf numFmtId="0" fontId="245" fillId="0" borderId="49" xfId="0" applyFont="1" applyBorder="1" applyAlignment="1">
      <alignment horizontal="center" vertical="center" wrapText="1"/>
    </xf>
    <xf numFmtId="0" fontId="92" fillId="0" borderId="266" xfId="0" applyFont="1" applyBorder="1" applyAlignment="1" applyProtection="1">
      <alignment horizontal="center" vertical="center" wrapText="1"/>
      <protection locked="0" hidden="1"/>
    </xf>
    <xf numFmtId="0" fontId="17" fillId="0" borderId="49" xfId="0" applyFont="1" applyBorder="1" applyProtection="1">
      <protection locked="0" hidden="1"/>
    </xf>
    <xf numFmtId="0" fontId="17" fillId="0" borderId="276" xfId="0" applyFont="1" applyBorder="1" applyProtection="1">
      <protection locked="0" hidden="1"/>
    </xf>
    <xf numFmtId="0" fontId="245" fillId="0" borderId="266" xfId="0" applyFont="1" applyBorder="1" applyAlignment="1" applyProtection="1">
      <alignment horizontal="center" vertical="center" wrapText="1"/>
      <protection locked="0" hidden="1"/>
    </xf>
    <xf numFmtId="0" fontId="26" fillId="0" borderId="49" xfId="0" applyFont="1" applyBorder="1" applyProtection="1">
      <protection locked="0" hidden="1"/>
    </xf>
    <xf numFmtId="0" fontId="26" fillId="0" borderId="276" xfId="0" applyFont="1" applyBorder="1" applyProtection="1">
      <protection locked="0" hidden="1"/>
    </xf>
    <xf numFmtId="0" fontId="249" fillId="0" borderId="266" xfId="0" applyFont="1" applyBorder="1" applyAlignment="1" applyProtection="1">
      <alignment horizontal="center" vertical="center" wrapText="1"/>
      <protection locked="0" hidden="1"/>
    </xf>
    <xf numFmtId="0" fontId="26" fillId="0" borderId="41" xfId="0" applyFont="1" applyBorder="1" applyProtection="1">
      <protection locked="0" hidden="1"/>
    </xf>
    <xf numFmtId="0" fontId="245" fillId="0" borderId="266" xfId="0" applyFont="1" applyBorder="1" applyAlignment="1">
      <alignment horizontal="center" vertical="center" wrapText="1"/>
    </xf>
    <xf numFmtId="0" fontId="249" fillId="0" borderId="266" xfId="0" applyFont="1" applyBorder="1" applyAlignment="1" applyProtection="1">
      <alignment horizontal="center" vertical="center" wrapText="1"/>
      <protection locked="0"/>
    </xf>
    <xf numFmtId="0" fontId="26" fillId="0" borderId="49" xfId="0" applyFont="1" applyBorder="1" applyProtection="1">
      <protection locked="0"/>
    </xf>
    <xf numFmtId="0" fontId="26" fillId="0" borderId="276" xfId="0" applyFont="1" applyBorder="1" applyProtection="1">
      <protection locked="0"/>
    </xf>
    <xf numFmtId="0" fontId="245" fillId="0" borderId="0" xfId="0" applyFont="1" applyAlignment="1">
      <alignment horizontal="center" vertical="center" wrapText="1"/>
    </xf>
    <xf numFmtId="0" fontId="249" fillId="0" borderId="0" xfId="0" applyFont="1" applyAlignment="1">
      <alignment horizontal="left" vertical="center"/>
    </xf>
    <xf numFmtId="0" fontId="246" fillId="0" borderId="49" xfId="0" applyFont="1" applyBorder="1" applyAlignment="1">
      <alignment horizontal="left" vertical="center" wrapText="1"/>
    </xf>
    <xf numFmtId="0" fontId="246" fillId="0" borderId="266" xfId="0" applyFont="1" applyBorder="1" applyAlignment="1">
      <alignment horizontal="center" vertical="center"/>
    </xf>
    <xf numFmtId="0" fontId="246" fillId="0" borderId="266" xfId="0" applyFont="1" applyBorder="1" applyAlignment="1">
      <alignment horizontal="center" vertical="center" wrapText="1"/>
    </xf>
    <xf numFmtId="0" fontId="245" fillId="0" borderId="266" xfId="0" applyFont="1" applyBorder="1" applyAlignment="1" applyProtection="1">
      <alignment horizontal="center" vertical="center"/>
      <protection locked="0" hidden="1"/>
    </xf>
    <xf numFmtId="0" fontId="245" fillId="0" borderId="266" xfId="0" applyFont="1" applyBorder="1" applyAlignment="1" applyProtection="1">
      <alignment horizontal="center"/>
      <protection locked="0" hidden="1"/>
    </xf>
    <xf numFmtId="0" fontId="248" fillId="0" borderId="266" xfId="0" applyFont="1" applyBorder="1" applyAlignment="1" applyProtection="1">
      <alignment horizontal="center" vertical="center"/>
      <protection locked="0" hidden="1"/>
    </xf>
    <xf numFmtId="0" fontId="246" fillId="0" borderId="266" xfId="0" applyFont="1" applyBorder="1" applyAlignment="1" applyProtection="1">
      <alignment horizontal="center" vertical="center"/>
      <protection locked="0"/>
    </xf>
    <xf numFmtId="0" fontId="249" fillId="0" borderId="0" xfId="0" applyFont="1" applyAlignment="1">
      <alignment horizontal="center" vertical="center"/>
    </xf>
    <xf numFmtId="0" fontId="250" fillId="0" borderId="49" xfId="0" applyFont="1" applyBorder="1" applyAlignment="1">
      <alignment horizontal="center"/>
    </xf>
    <xf numFmtId="0" fontId="247" fillId="0" borderId="49" xfId="0" applyFont="1" applyBorder="1" applyAlignment="1">
      <alignment horizontal="center" vertical="center" wrapText="1"/>
    </xf>
    <xf numFmtId="0" fontId="247" fillId="0" borderId="266" xfId="0" applyFont="1" applyBorder="1" applyAlignment="1">
      <alignment horizontal="center" vertical="center" wrapText="1"/>
    </xf>
    <xf numFmtId="0" fontId="250" fillId="0" borderId="0" xfId="0" applyFont="1" applyAlignment="1">
      <alignment horizontal="center"/>
    </xf>
    <xf numFmtId="0" fontId="245" fillId="0" borderId="49" xfId="0" applyFont="1" applyBorder="1" applyAlignment="1" applyProtection="1">
      <alignment horizontal="center" vertical="center" wrapText="1"/>
      <protection locked="0"/>
    </xf>
    <xf numFmtId="0" fontId="246" fillId="0" borderId="49" xfId="0" applyFont="1" applyBorder="1" applyAlignment="1">
      <alignment horizontal="center" vertical="center" wrapText="1"/>
    </xf>
    <xf numFmtId="0" fontId="250" fillId="0" borderId="283" xfId="0" applyFont="1" applyBorder="1" applyAlignment="1">
      <alignment horizontal="center" vertical="center" wrapText="1"/>
    </xf>
    <xf numFmtId="0" fontId="26" fillId="0" borderId="277" xfId="0" applyFont="1" applyBorder="1"/>
    <xf numFmtId="0" fontId="245" fillId="0" borderId="278" xfId="0" applyFont="1" applyBorder="1" applyAlignment="1">
      <alignment horizontal="center" vertical="center" wrapText="1"/>
    </xf>
    <xf numFmtId="0" fontId="245" fillId="0" borderId="278" xfId="0" applyFont="1" applyBorder="1" applyAlignment="1" applyProtection="1">
      <alignment horizontal="center" vertical="center" wrapText="1"/>
      <protection locked="0" hidden="1"/>
    </xf>
    <xf numFmtId="0" fontId="26" fillId="0" borderId="279" xfId="0" applyFont="1" applyBorder="1" applyProtection="1">
      <protection locked="0" hidden="1"/>
    </xf>
    <xf numFmtId="0" fontId="251" fillId="98" borderId="4" xfId="0" applyFont="1" applyFill="1" applyBorder="1" applyAlignment="1">
      <alignment horizontal="center" vertical="center"/>
    </xf>
    <xf numFmtId="0" fontId="251" fillId="99" borderId="4" xfId="0" applyFont="1" applyFill="1" applyBorder="1" applyAlignment="1">
      <alignment horizontal="center" vertical="center"/>
    </xf>
    <xf numFmtId="0" fontId="251" fillId="0" borderId="268" xfId="0" applyFont="1" applyBorder="1" applyAlignment="1">
      <alignment horizontal="center" vertical="center"/>
    </xf>
    <xf numFmtId="0" fontId="0" fillId="0" borderId="0" xfId="0" applyAlignment="1">
      <alignment horizontal="center"/>
    </xf>
    <xf numFmtId="0" fontId="107" fillId="44" borderId="77" xfId="0" applyFont="1" applyFill="1" applyBorder="1" applyAlignment="1">
      <alignment horizontal="center" vertical="center" wrapText="1"/>
    </xf>
    <xf numFmtId="0" fontId="216" fillId="111" borderId="0" xfId="0" applyFont="1" applyFill="1" applyAlignment="1">
      <alignment horizontal="center"/>
    </xf>
    <xf numFmtId="2" fontId="0" fillId="14" borderId="0" xfId="0" applyNumberFormat="1" applyFill="1"/>
    <xf numFmtId="0" fontId="0" fillId="18" borderId="4" xfId="0" applyFill="1" applyBorder="1"/>
    <xf numFmtId="0" fontId="0" fillId="14" borderId="29" xfId="0" applyFill="1" applyBorder="1" applyAlignment="1">
      <alignment horizontal="center"/>
    </xf>
    <xf numFmtId="0" fontId="0" fillId="14" borderId="36" xfId="0" applyFill="1" applyBorder="1" applyAlignment="1">
      <alignment horizontal="center"/>
    </xf>
    <xf numFmtId="0" fontId="292" fillId="0" borderId="19" xfId="0" applyFont="1" applyBorder="1" applyAlignment="1">
      <alignment horizontal="center"/>
    </xf>
  </cellXfs>
  <cellStyles count="12">
    <cellStyle name="Comma" xfId="5" builtinId="3"/>
    <cellStyle name="Comma 2" xfId="8" xr:uid="{00000000-0005-0000-0000-000001000000}"/>
    <cellStyle name="Comma 2 2" xfId="9" xr:uid="{00000000-0005-0000-0000-000002000000}"/>
    <cellStyle name="Comma 3" xfId="10" xr:uid="{00000000-0005-0000-0000-000003000000}"/>
    <cellStyle name="Hyperlink" xfId="4" builtinId="8"/>
    <cellStyle name="Hyperlink 2" xfId="11" xr:uid="{00000000-0005-0000-0000-000005000000}"/>
    <cellStyle name="Normal" xfId="0" builtinId="0"/>
    <cellStyle name="Normal 2" xfId="2" xr:uid="{00000000-0005-0000-0000-000007000000}"/>
    <cellStyle name="Normal 3" xfId="7" xr:uid="{00000000-0005-0000-0000-000008000000}"/>
    <cellStyle name="Normal_pay 2008-09" xfId="3" xr:uid="{00000000-0005-0000-0000-000009000000}"/>
    <cellStyle name="Percent" xfId="1" builtinId="5"/>
    <cellStyle name="Style 1" xfId="6" xr:uid="{00000000-0005-0000-0000-00000B000000}"/>
  </cellStyles>
  <dxfs count="10">
    <dxf>
      <font>
        <condense val="0"/>
        <extend val="0"/>
        <color rgb="FF9C0006"/>
      </font>
      <fill>
        <patternFill>
          <bgColor rgb="FFFFC7CE"/>
        </patternFill>
      </fill>
    </dxf>
    <dxf>
      <font>
        <color theme="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3" tint="-0.499984740745262"/>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00"/>
      <color rgb="FF66FF99"/>
      <color rgb="FFFFFF99"/>
      <color rgb="FFCCFFFF"/>
      <color rgb="FFFFCCFF"/>
      <color rgb="FF00FF99"/>
      <color rgb="FFFF99FF"/>
      <color rgb="FF9900FF"/>
      <color rgb="FF1F570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firstButton="1" fmlaLink="$P$1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fmlaLink="$P$1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W$2" lockText="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Master!$M$93" lockText="1"/>
</file>

<file path=xl/ctrlProps/ctrlProp20.xml><?xml version="1.0" encoding="utf-8"?>
<formControlPr xmlns="http://schemas.microsoft.com/office/spreadsheetml/2009/9/main" objectType="Radio" firstButton="1" fmlaLink="Control_10E!$M$2"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Control_10E!$M$4"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Control_10E!$M$9"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Control_10E!$M$1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Button" lockText="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P$1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Gen Info'!A1"/><Relationship Id="rId2" Type="http://schemas.openxmlformats.org/officeDocument/2006/relationships/image" Target="../media/image1.jpeg"/><Relationship Id="rId1" Type="http://schemas.openxmlformats.org/officeDocument/2006/relationships/hyperlink" Target="mailto:JOSHIHANSRAJ72@GMAIL.COM" TargetMode="External"/><Relationship Id="rId4"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hyperlink" Target="#'Data Entry'!A1"/></Relationships>
</file>

<file path=xl/drawings/_rels/drawing2.xml.rels><?xml version="1.0" encoding="UTF-8" standalone="yes"?>
<Relationships xmlns="http://schemas.openxmlformats.org/package/2006/relationships"><Relationship Id="rId2" Type="http://schemas.openxmlformats.org/officeDocument/2006/relationships/hyperlink" Target="#INTRO!A1"/><Relationship Id="rId1" Type="http://schemas.openxmlformats.org/officeDocument/2006/relationships/hyperlink" Target="#'Pay &amp; Allowances'!A1"/></Relationships>
</file>

<file path=xl/drawings/_rels/drawing3.xml.rels><?xml version="1.0" encoding="UTF-8" standalone="yes"?>
<Relationships xmlns="http://schemas.openxmlformats.org/package/2006/relationships"><Relationship Id="rId2" Type="http://schemas.openxmlformats.org/officeDocument/2006/relationships/hyperlink" Target="#Deductions!A1"/><Relationship Id="rId1" Type="http://schemas.openxmlformats.org/officeDocument/2006/relationships/hyperlink" Target="#'Gen Info'!A1"/></Relationships>
</file>

<file path=xl/drawings/_rels/drawing4.xml.rels><?xml version="1.0" encoding="UTF-8" standalone="yes"?>
<Relationships xmlns="http://schemas.openxmlformats.org/package/2006/relationships"><Relationship Id="rId2" Type="http://schemas.openxmlformats.org/officeDocument/2006/relationships/hyperlink" Target="#HRA!A1"/><Relationship Id="rId1" Type="http://schemas.openxmlformats.org/officeDocument/2006/relationships/hyperlink" Target="#'Pay &amp; Allowances'!A1"/></Relationships>
</file>

<file path=xl/drawings/_rels/drawing5.xml.rels><?xml version="1.0" encoding="UTF-8" standalone="yes"?>
<Relationships xmlns="http://schemas.openxmlformats.org/package/2006/relationships"><Relationship Id="rId2" Type="http://schemas.openxmlformats.org/officeDocument/2006/relationships/hyperlink" Target="#Assesment!A1"/><Relationship Id="rId1" Type="http://schemas.openxmlformats.org/officeDocument/2006/relationships/hyperlink" Target="#'Data Entry'!A1"/></Relationships>
</file>

<file path=xl/drawings/_rels/drawing6.xml.rels><?xml version="1.0" encoding="UTF-8" standalone="yes"?>
<Relationships xmlns="http://schemas.openxmlformats.org/package/2006/relationships"><Relationship Id="rId2" Type="http://schemas.openxmlformats.org/officeDocument/2006/relationships/hyperlink" Target="#Salary!A1"/><Relationship Id="rId1" Type="http://schemas.openxmlformats.org/officeDocument/2006/relationships/hyperlink" Target="#HRA!A1"/></Relationships>
</file>

<file path=xl/drawings/_rels/drawing7.xml.rels><?xml version="1.0" encoding="UTF-8" standalone="yes"?>
<Relationships xmlns="http://schemas.openxmlformats.org/package/2006/relationships"><Relationship Id="rId2" Type="http://schemas.openxmlformats.org/officeDocument/2006/relationships/hyperlink" Target="#Form16!A1"/><Relationship Id="rId1" Type="http://schemas.openxmlformats.org/officeDocument/2006/relationships/hyperlink" Target="#Assesment!A1"/></Relationships>
</file>

<file path=xl/drawings/_rels/vmlDrawing6.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20</xdr:row>
      <xdr:rowOff>127000</xdr:rowOff>
    </xdr:from>
    <xdr:to>
      <xdr:col>4</xdr:col>
      <xdr:colOff>82550</xdr:colOff>
      <xdr:row>22</xdr:row>
      <xdr:rowOff>76200</xdr:rowOff>
    </xdr:to>
    <xdr:sp macro="" textlink="">
      <xdr:nvSpPr>
        <xdr:cNvPr id="17" name="AutoShape 4" descr="Image result for whatsapp logo image">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159000" y="54673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127000</xdr:rowOff>
    </xdr:from>
    <xdr:to>
      <xdr:col>4</xdr:col>
      <xdr:colOff>82550</xdr:colOff>
      <xdr:row>22</xdr:row>
      <xdr:rowOff>76200</xdr:rowOff>
    </xdr:to>
    <xdr:sp macro="" textlink="">
      <xdr:nvSpPr>
        <xdr:cNvPr id="6" name="AutoShape 4" descr="Image result for whatsapp logo image">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2305050" y="42862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1790700</xdr:colOff>
      <xdr:row>19</xdr:row>
      <xdr:rowOff>63500</xdr:rowOff>
    </xdr:from>
    <xdr:to>
      <xdr:col>2</xdr:col>
      <xdr:colOff>2514600</xdr:colOff>
      <xdr:row>23</xdr:row>
      <xdr:rowOff>76200</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4900" y="4533900"/>
          <a:ext cx="723900" cy="749300"/>
        </a:xfrm>
        <a:prstGeom prst="rect">
          <a:avLst/>
        </a:prstGeom>
      </xdr:spPr>
    </xdr:pic>
    <xdr:clientData/>
  </xdr:twoCellAnchor>
  <xdr:twoCellAnchor>
    <xdr:from>
      <xdr:col>1</xdr:col>
      <xdr:colOff>336550</xdr:colOff>
      <xdr:row>2</xdr:row>
      <xdr:rowOff>88900</xdr:rowOff>
    </xdr:from>
    <xdr:to>
      <xdr:col>1</xdr:col>
      <xdr:colOff>1079500</xdr:colOff>
      <xdr:row>3</xdr:row>
      <xdr:rowOff>457200</xdr:rowOff>
    </xdr:to>
    <xdr:sp macro="" textlink="">
      <xdr:nvSpPr>
        <xdr:cNvPr id="19" name="Right Arrow 18">
          <a:hlinkClick xmlns:r="http://schemas.openxmlformats.org/officeDocument/2006/relationships" r:id="rId3"/>
          <a:extLst>
            <a:ext uri="{FF2B5EF4-FFF2-40B4-BE49-F238E27FC236}">
              <a16:creationId xmlns:a16="http://schemas.microsoft.com/office/drawing/2014/main" id="{00000000-0008-0000-0000-000013000000}"/>
            </a:ext>
          </a:extLst>
        </xdr:cNvPr>
        <xdr:cNvSpPr/>
      </xdr:nvSpPr>
      <xdr:spPr>
        <a:xfrm>
          <a:off x="558800" y="635000"/>
          <a:ext cx="742950" cy="59055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2</xdr:col>
      <xdr:colOff>5166360</xdr:colOff>
      <xdr:row>17</xdr:row>
      <xdr:rowOff>158750</xdr:rowOff>
    </xdr:from>
    <xdr:to>
      <xdr:col>2</xdr:col>
      <xdr:colOff>7321550</xdr:colOff>
      <xdr:row>19</xdr:row>
      <xdr:rowOff>44450</xdr:rowOff>
    </xdr:to>
    <xdr:sp macro="" textlink="">
      <xdr:nvSpPr>
        <xdr:cNvPr id="10" name="Rounded Rectangle 9">
          <a:extLst>
            <a:ext uri="{FF2B5EF4-FFF2-40B4-BE49-F238E27FC236}">
              <a16:creationId xmlns:a16="http://schemas.microsoft.com/office/drawing/2014/main" id="{00000000-0008-0000-0000-00000A000000}"/>
            </a:ext>
          </a:extLst>
        </xdr:cNvPr>
        <xdr:cNvSpPr/>
      </xdr:nvSpPr>
      <xdr:spPr>
        <a:xfrm>
          <a:off x="6995160" y="7542530"/>
          <a:ext cx="2155190" cy="25146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j-lt"/>
              <a:ea typeface="+mn-ea"/>
              <a:cs typeface="+mn-cs"/>
            </a:rPr>
            <a:t>HANS</a:t>
          </a:r>
          <a:r>
            <a:rPr lang="en-GB" sz="1100">
              <a:latin typeface="+mj-lt"/>
            </a:rPr>
            <a:t> RAJ JOSHI</a:t>
          </a:r>
        </a:p>
      </xdr:txBody>
    </xdr:sp>
    <xdr:clientData/>
  </xdr:twoCellAnchor>
  <xdr:twoCellAnchor>
    <xdr:from>
      <xdr:col>2</xdr:col>
      <xdr:colOff>4991100</xdr:colOff>
      <xdr:row>19</xdr:row>
      <xdr:rowOff>57150</xdr:rowOff>
    </xdr:from>
    <xdr:to>
      <xdr:col>2</xdr:col>
      <xdr:colOff>7550150</xdr:colOff>
      <xdr:row>24</xdr:row>
      <xdr:rowOff>19050</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6819900" y="7806690"/>
          <a:ext cx="2559050" cy="876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GB" sz="1100">
              <a:latin typeface="+mj-lt"/>
            </a:rPr>
            <a:t>PRINCIPAL  </a:t>
          </a:r>
        </a:p>
        <a:p>
          <a:pPr algn="ctr"/>
          <a:r>
            <a:rPr lang="en-GB" sz="1100">
              <a:latin typeface="+mj-lt"/>
            </a:rPr>
            <a:t>GOVT.SR.SECONDARY</a:t>
          </a:r>
          <a:r>
            <a:rPr lang="en-GB" sz="1100" baseline="0">
              <a:latin typeface="+mj-lt"/>
            </a:rPr>
            <a:t> SCHOOL Rajpura Piperan(Suratgarh), SRIGANGANAGAR</a:t>
          </a:r>
          <a:endParaRPr lang="en-GB" sz="1100">
            <a:latin typeface="+mj-lt"/>
          </a:endParaRPr>
        </a:p>
      </xdr:txBody>
    </xdr:sp>
    <xdr:clientData/>
  </xdr:twoCellAnchor>
  <xdr:twoCellAnchor>
    <xdr:from>
      <xdr:col>2</xdr:col>
      <xdr:colOff>7874000</xdr:colOff>
      <xdr:row>17</xdr:row>
      <xdr:rowOff>38100</xdr:rowOff>
    </xdr:from>
    <xdr:to>
      <xdr:col>2</xdr:col>
      <xdr:colOff>9220200</xdr:colOff>
      <xdr:row>24</xdr:row>
      <xdr:rowOff>165100</xdr:rowOff>
    </xdr:to>
    <xdr:sp macro="" textlink="">
      <xdr:nvSpPr>
        <xdr:cNvPr id="18" name="Frame 17">
          <a:extLst>
            <a:ext uri="{FF2B5EF4-FFF2-40B4-BE49-F238E27FC236}">
              <a16:creationId xmlns:a16="http://schemas.microsoft.com/office/drawing/2014/main" id="{00000000-0008-0000-0000-000012000000}"/>
            </a:ext>
          </a:extLst>
        </xdr:cNvPr>
        <xdr:cNvSpPr/>
      </xdr:nvSpPr>
      <xdr:spPr>
        <a:xfrm>
          <a:off x="9734550" y="4749800"/>
          <a:ext cx="1346200" cy="141605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editAs="oneCell">
    <xdr:from>
      <xdr:col>2</xdr:col>
      <xdr:colOff>8020050</xdr:colOff>
      <xdr:row>17</xdr:row>
      <xdr:rowOff>177800</xdr:rowOff>
    </xdr:from>
    <xdr:to>
      <xdr:col>2</xdr:col>
      <xdr:colOff>9059268</xdr:colOff>
      <xdr:row>24</xdr:row>
      <xdr:rowOff>19050</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80600" y="4889500"/>
          <a:ext cx="1039218" cy="1130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107950</xdr:colOff>
      <xdr:row>26</xdr:row>
      <xdr:rowOff>165100</xdr:rowOff>
    </xdr:from>
    <xdr:to>
      <xdr:col>16</xdr:col>
      <xdr:colOff>546100</xdr:colOff>
      <xdr:row>27</xdr:row>
      <xdr:rowOff>63500</xdr:rowOff>
    </xdr:to>
    <xdr:cxnSp macro="">
      <xdr:nvCxnSpPr>
        <xdr:cNvPr id="3" name="Straight Arrow Connector 2">
          <a:extLst>
            <a:ext uri="{FF2B5EF4-FFF2-40B4-BE49-F238E27FC236}">
              <a16:creationId xmlns:a16="http://schemas.microsoft.com/office/drawing/2014/main" id="{00000000-0008-0000-0B00-000003000000}"/>
            </a:ext>
          </a:extLst>
        </xdr:cNvPr>
        <xdr:cNvCxnSpPr/>
      </xdr:nvCxnSpPr>
      <xdr:spPr>
        <a:xfrm flipH="1">
          <a:off x="7994650" y="5448300"/>
          <a:ext cx="660400" cy="8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198120</xdr:colOff>
          <xdr:row>42</xdr:row>
          <xdr:rowOff>114300</xdr:rowOff>
        </xdr:from>
        <xdr:to>
          <xdr:col>8</xdr:col>
          <xdr:colOff>441960</xdr:colOff>
          <xdr:row>43</xdr:row>
          <xdr:rowOff>144780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Generate Form 10 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10406944</xdr:colOff>
      <xdr:row>3</xdr:row>
      <xdr:rowOff>14110</xdr:rowOff>
    </xdr:from>
    <xdr:to>
      <xdr:col>1</xdr:col>
      <xdr:colOff>11994444</xdr:colOff>
      <xdr:row>7</xdr:row>
      <xdr:rowOff>112887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0914944" y="620888"/>
          <a:ext cx="1587500" cy="832555"/>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a:solidFill>
            <a:srgbClr val="00FF99"/>
          </a:solidFill>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mj-lt"/>
            </a:rPr>
            <a:t>DATA</a:t>
          </a:r>
          <a:r>
            <a:rPr lang="en-GB" sz="1100" baseline="0">
              <a:latin typeface="+mj-lt"/>
            </a:rPr>
            <a:t> ENTRY SHEET</a:t>
          </a:r>
          <a:endParaRPr lang="en-GB" sz="11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2773362</xdr:colOff>
      <xdr:row>1</xdr:row>
      <xdr:rowOff>34925</xdr:rowOff>
    </xdr:from>
    <xdr:to>
      <xdr:col>5</xdr:col>
      <xdr:colOff>3492500</xdr:colOff>
      <xdr:row>2</xdr:row>
      <xdr:rowOff>206375</xdr:rowOff>
    </xdr:to>
    <xdr:sp macro="" textlink="">
      <xdr:nvSpPr>
        <xdr:cNvPr id="19" name="Right Arrow 18">
          <a:hlinkClick xmlns:r="http://schemas.openxmlformats.org/officeDocument/2006/relationships" r:id="rId1"/>
          <a:extLst>
            <a:ext uri="{FF2B5EF4-FFF2-40B4-BE49-F238E27FC236}">
              <a16:creationId xmlns:a16="http://schemas.microsoft.com/office/drawing/2014/main" id="{00000000-0008-0000-0100-000013000000}"/>
            </a:ext>
          </a:extLst>
        </xdr:cNvPr>
        <xdr:cNvSpPr/>
      </xdr:nvSpPr>
      <xdr:spPr>
        <a:xfrm>
          <a:off x="11068050" y="233363"/>
          <a:ext cx="719138" cy="401637"/>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1</xdr:col>
      <xdr:colOff>241300</xdr:colOff>
      <xdr:row>1</xdr:row>
      <xdr:rowOff>19050</xdr:rowOff>
    </xdr:from>
    <xdr:to>
      <xdr:col>1</xdr:col>
      <xdr:colOff>927100</xdr:colOff>
      <xdr:row>2</xdr:row>
      <xdr:rowOff>260350</xdr:rowOff>
    </xdr:to>
    <xdr:sp macro="" textlink="">
      <xdr:nvSpPr>
        <xdr:cNvPr id="2" name="Left Arrow 1">
          <a:hlinkClick xmlns:r="http://schemas.openxmlformats.org/officeDocument/2006/relationships" r:id="rId2"/>
          <a:extLst>
            <a:ext uri="{FF2B5EF4-FFF2-40B4-BE49-F238E27FC236}">
              <a16:creationId xmlns:a16="http://schemas.microsoft.com/office/drawing/2014/main" id="{00000000-0008-0000-0100-000002000000}"/>
            </a:ext>
          </a:extLst>
        </xdr:cNvPr>
        <xdr:cNvSpPr/>
      </xdr:nvSpPr>
      <xdr:spPr>
        <a:xfrm>
          <a:off x="419100" y="209550"/>
          <a:ext cx="685800" cy="469900"/>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a:solidFill>
            <a:srgbClr val="00FF99"/>
          </a:solidFill>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mj-lt"/>
            </a:rPr>
            <a:t>BACK</a:t>
          </a:r>
        </a:p>
      </xdr:txBody>
    </xdr:sp>
    <xdr:clientData/>
  </xdr:twoCellAnchor>
  <xdr:twoCellAnchor>
    <xdr:from>
      <xdr:col>7</xdr:col>
      <xdr:colOff>577850</xdr:colOff>
      <xdr:row>0</xdr:row>
      <xdr:rowOff>158750</xdr:rowOff>
    </xdr:from>
    <xdr:to>
      <xdr:col>11</xdr:col>
      <xdr:colOff>584200</xdr:colOff>
      <xdr:row>2</xdr:row>
      <xdr:rowOff>222250</xdr:rowOff>
    </xdr:to>
    <xdr:sp macro="" textlink="">
      <xdr:nvSpPr>
        <xdr:cNvPr id="4" name="Horizontal Scroll 3">
          <a:extLst>
            <a:ext uri="{FF2B5EF4-FFF2-40B4-BE49-F238E27FC236}">
              <a16:creationId xmlns:a16="http://schemas.microsoft.com/office/drawing/2014/main" id="{00000000-0008-0000-0100-000004000000}"/>
            </a:ext>
          </a:extLst>
        </xdr:cNvPr>
        <xdr:cNvSpPr/>
      </xdr:nvSpPr>
      <xdr:spPr>
        <a:xfrm>
          <a:off x="12344400" y="158750"/>
          <a:ext cx="1993900" cy="482600"/>
        </a:xfrm>
        <a:prstGeom prst="horizontalScroll">
          <a:avLst/>
        </a:prstGeom>
        <a:gradFill>
          <a:gsLst>
            <a:gs pos="10000">
              <a:srgbClr val="FFC000"/>
            </a:gs>
            <a:gs pos="51000">
              <a:srgbClr val="66008F"/>
            </a:gs>
            <a:gs pos="77000">
              <a:srgbClr val="BA0066"/>
            </a:gs>
            <a:gs pos="89999">
              <a:srgbClr val="FF0000"/>
            </a:gs>
            <a:gs pos="100000">
              <a:srgbClr val="FF8200"/>
            </a:gs>
          </a:gsLst>
          <a:lin ang="5400000" scaled="0"/>
        </a:gradFill>
        <a:effectLst>
          <a:glow rad="406400">
            <a:srgbClr val="FF0000">
              <a:alpha val="28000"/>
            </a:srgbClr>
          </a:glow>
          <a:outerShdw blurRad="50800" dist="50800" dir="5400000" algn="ctr" rotWithShape="0">
            <a:schemeClr val="accent3">
              <a:lumMod val="75000"/>
            </a:schemeClr>
          </a:outerShdw>
          <a:reflection endPos="0" dir="5400000" sy="-100000" algn="bl" rotWithShape="0"/>
        </a:effectLst>
        <a:scene3d>
          <a:camera prst="orthographicFront"/>
          <a:lightRig rig="sunset" dir="t">
            <a:rot lat="0" lon="0" rev="1800000"/>
          </a:lightRig>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करदाता की श्रेणी चुने </a:t>
          </a:r>
          <a:endParaRPr lang="en-GB" sz="1100"/>
        </a:p>
      </xdr:txBody>
    </xdr:sp>
    <xdr:clientData/>
  </xdr:twoCellAnchor>
  <xdr:twoCellAnchor>
    <xdr:from>
      <xdr:col>12</xdr:col>
      <xdr:colOff>558800</xdr:colOff>
      <xdr:row>3</xdr:row>
      <xdr:rowOff>31750</xdr:rowOff>
    </xdr:from>
    <xdr:to>
      <xdr:col>14</xdr:col>
      <xdr:colOff>469900</xdr:colOff>
      <xdr:row>7</xdr:row>
      <xdr:rowOff>215900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15595600" y="742950"/>
          <a:ext cx="1130300" cy="123825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hi-IN" sz="1100"/>
            <a:t>गणना के लिए कर निर्धारिती की आयु अनुसार श्रेणी का चयन करे</a:t>
          </a:r>
          <a:endParaRPr lang="en-GB" sz="1100"/>
        </a:p>
      </xdr:txBody>
    </xdr:sp>
    <xdr:clientData/>
  </xdr:twoCellAnchor>
  <xdr:twoCellAnchor>
    <xdr:from>
      <xdr:col>12</xdr:col>
      <xdr:colOff>298450</xdr:colOff>
      <xdr:row>4</xdr:row>
      <xdr:rowOff>247650</xdr:rowOff>
    </xdr:from>
    <xdr:to>
      <xdr:col>12</xdr:col>
      <xdr:colOff>558800</xdr:colOff>
      <xdr:row>6</xdr:row>
      <xdr:rowOff>0</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15335250" y="1149350"/>
          <a:ext cx="260350" cy="381000"/>
        </a:xfrm>
        <a:prstGeom prst="lef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8</xdr:col>
          <xdr:colOff>106680</xdr:colOff>
          <xdr:row>3</xdr:row>
          <xdr:rowOff>83820</xdr:rowOff>
        </xdr:from>
        <xdr:to>
          <xdr:col>12</xdr:col>
          <xdr:colOff>1905</xdr:colOff>
          <xdr:row>7</xdr:row>
          <xdr:rowOff>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 CATEGORY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4</xdr:row>
          <xdr:rowOff>83820</xdr:rowOff>
        </xdr:from>
        <xdr:to>
          <xdr:col>11</xdr:col>
          <xdr:colOff>297180</xdr:colOff>
          <xdr:row>4</xdr:row>
          <xdr:rowOff>365760</xdr:rowOff>
        </xdr:to>
        <xdr:sp macro="" textlink="">
          <xdr:nvSpPr>
            <xdr:cNvPr id="2083" name="Option Button 35" descr="Indivisual(&lt; 60 Yrs)"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FF" mc:Ignorable="a14" a14:legacySpreadsheetColorIndex="65"/>
            </a:solidFill>
            <a:ln w="9525">
              <a:solidFill>
                <a:srgbClr val="800000" mc:Ignorable="a14" a14:legacySpreadsheetColorIndex="37"/>
              </a:solidFill>
              <a:miter lim="800000"/>
              <a:headEnd/>
              <a:tailEnd/>
            </a:ln>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INDIVIDUAL (&lt; 60yrs)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4</xdr:row>
          <xdr:rowOff>449580</xdr:rowOff>
        </xdr:from>
        <xdr:to>
          <xdr:col>11</xdr:col>
          <xdr:colOff>495300</xdr:colOff>
          <xdr:row>5</xdr:row>
          <xdr:rowOff>259080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FF" mc:Ignorable="a14" a14:legacySpreadsheetColorIndex="65"/>
            </a:solidFill>
            <a:ln w="9525">
              <a:solidFill>
                <a:srgbClr val="800000" mc:Ignorable="a14" a14:legacySpreadsheetColorIndex="16"/>
              </a:solidFill>
              <a:miter lim="800000"/>
              <a:headEnd/>
              <a:tailEnd/>
            </a:ln>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SR. CITIZEN (above 60Yrs)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5</xdr:row>
          <xdr:rowOff>426720</xdr:rowOff>
        </xdr:from>
        <xdr:to>
          <xdr:col>11</xdr:col>
          <xdr:colOff>594360</xdr:colOff>
          <xdr:row>6</xdr:row>
          <xdr:rowOff>259080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solidFill>
              <a:srgbClr val="FFFFFF" mc:Ignorable="a14" a14:legacySpreadsheetColorIndex="65">
                <a:alpha val="97000"/>
              </a:srgbClr>
            </a:solidFill>
            <a:ln w="9525">
              <a:solidFill>
                <a:srgbClr val="FF0000" mc:Ignorable="a14" a14:legacySpreadsheetColorIndex="10"/>
              </a:solidFill>
              <a:miter lim="800000"/>
              <a:headEnd/>
              <a:tailEnd/>
            </a:ln>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SUPER SR. CITIZEN (above 80Yrs)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1631950</xdr:colOff>
      <xdr:row>8</xdr:row>
      <xdr:rowOff>209550</xdr:rowOff>
    </xdr:from>
    <xdr:to>
      <xdr:col>6</xdr:col>
      <xdr:colOff>2109788</xdr:colOff>
      <xdr:row>8</xdr:row>
      <xdr:rowOff>431799</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1898650" y="2374900"/>
          <a:ext cx="477838" cy="222249"/>
        </a:xfrm>
        <a:prstGeom prst="rightArrow">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700" b="0" i="0" u="none" strike="noStrike" kern="0" cap="none" spc="0" normalizeH="0" baseline="0" noProof="0">
              <a:ln>
                <a:noFill/>
              </a:ln>
              <a:solidFill>
                <a:sysClr val="window" lastClr="FFFFFF"/>
              </a:solidFill>
              <a:effectLst/>
              <a:uLnTx/>
              <a:uFillTx/>
              <a:latin typeface="Calibri" panose="020F0502020204030204"/>
              <a:ea typeface="+mn-ea"/>
              <a:cs typeface="+mn-cs"/>
            </a:rPr>
            <a:t>CHOOSE</a:t>
          </a:r>
        </a:p>
      </xdr:txBody>
    </xdr:sp>
    <xdr:clientData/>
  </xdr:twoCellAnchor>
  <xdr:twoCellAnchor>
    <xdr:from>
      <xdr:col>2</xdr:col>
      <xdr:colOff>1384300</xdr:colOff>
      <xdr:row>18</xdr:row>
      <xdr:rowOff>260350</xdr:rowOff>
    </xdr:from>
    <xdr:to>
      <xdr:col>3</xdr:col>
      <xdr:colOff>7938</xdr:colOff>
      <xdr:row>18</xdr:row>
      <xdr:rowOff>482599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562100" y="3867150"/>
          <a:ext cx="598488" cy="222249"/>
        </a:xfrm>
        <a:prstGeom prst="rightArrow">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700" b="0" i="0" u="none" strike="noStrike" kern="0" cap="none" spc="0" normalizeH="0" baseline="0" noProof="0">
              <a:ln>
                <a:noFill/>
              </a:ln>
              <a:solidFill>
                <a:sysClr val="window" lastClr="FFFFFF"/>
              </a:solidFill>
              <a:effectLst/>
              <a:uLnTx/>
              <a:uFillTx/>
              <a:latin typeface="Calibri" panose="020F0502020204030204"/>
              <a:ea typeface="+mn-ea"/>
              <a:cs typeface="+mn-cs"/>
            </a:rPr>
            <a:t>CHOOSE</a:t>
          </a:r>
        </a:p>
      </xdr:txBody>
    </xdr:sp>
    <xdr:clientData/>
  </xdr:twoCellAnchor>
  <xdr:twoCellAnchor>
    <xdr:from>
      <xdr:col>11</xdr:col>
      <xdr:colOff>1631950</xdr:colOff>
      <xdr:row>8</xdr:row>
      <xdr:rowOff>209550</xdr:rowOff>
    </xdr:from>
    <xdr:to>
      <xdr:col>11</xdr:col>
      <xdr:colOff>2109788</xdr:colOff>
      <xdr:row>8</xdr:row>
      <xdr:rowOff>431799</xdr:rowOff>
    </xdr:to>
    <xdr:sp macro="" textlink="">
      <xdr:nvSpPr>
        <xdr:cNvPr id="8" name="Right Arrow 7">
          <a:extLst>
            <a:ext uri="{FF2B5EF4-FFF2-40B4-BE49-F238E27FC236}">
              <a16:creationId xmlns:a16="http://schemas.microsoft.com/office/drawing/2014/main" id="{00000000-0008-0000-0200-000008000000}"/>
            </a:ext>
          </a:extLst>
        </xdr:cNvPr>
        <xdr:cNvSpPr/>
      </xdr:nvSpPr>
      <xdr:spPr>
        <a:xfrm>
          <a:off x="4603750" y="2540000"/>
          <a:ext cx="1588" cy="222249"/>
        </a:xfrm>
        <a:prstGeom prst="rightArrow">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700" b="0" i="0" u="none" strike="noStrike" kern="0" cap="none" spc="0" normalizeH="0" baseline="0" noProof="0">
              <a:ln>
                <a:noFill/>
              </a:ln>
              <a:solidFill>
                <a:sysClr val="window" lastClr="FFFFFF"/>
              </a:solidFill>
              <a:effectLst/>
              <a:uLnTx/>
              <a:uFillTx/>
              <a:latin typeface="Calibri" panose="020F0502020204030204"/>
              <a:ea typeface="+mn-ea"/>
              <a:cs typeface="+mn-cs"/>
            </a:rPr>
            <a:t>CHOOSE</a:t>
          </a:r>
        </a:p>
      </xdr:txBody>
    </xdr:sp>
    <xdr:clientData/>
  </xdr:twoCellAnchor>
  <xdr:twoCellAnchor>
    <xdr:from>
      <xdr:col>2</xdr:col>
      <xdr:colOff>0</xdr:colOff>
      <xdr:row>2</xdr:row>
      <xdr:rowOff>0</xdr:rowOff>
    </xdr:from>
    <xdr:to>
      <xdr:col>2</xdr:col>
      <xdr:colOff>685800</xdr:colOff>
      <xdr:row>3</xdr:row>
      <xdr:rowOff>153988</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419100" y="368300"/>
          <a:ext cx="685800" cy="471488"/>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w="25400" cap="flat" cmpd="sng" algn="ctr">
          <a:solidFill>
            <a:srgbClr val="00FF99"/>
          </a:solidFill>
          <a:prstDash val="solid"/>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mbria" panose="020F0302020204030204"/>
              <a:ea typeface="+mn-ea"/>
              <a:cs typeface="+mn-cs"/>
            </a:rPr>
            <a:t>BACK</a:t>
          </a:r>
        </a:p>
      </xdr:txBody>
    </xdr:sp>
    <xdr:clientData/>
  </xdr:twoCellAnchor>
  <xdr:twoCellAnchor>
    <xdr:from>
      <xdr:col>13</xdr:col>
      <xdr:colOff>0</xdr:colOff>
      <xdr:row>2</xdr:row>
      <xdr:rowOff>0</xdr:rowOff>
    </xdr:from>
    <xdr:to>
      <xdr:col>13</xdr:col>
      <xdr:colOff>719138</xdr:colOff>
      <xdr:row>3</xdr:row>
      <xdr:rowOff>84138</xdr:rowOff>
    </xdr:to>
    <xdr:sp macro="" textlink="">
      <xdr:nvSpPr>
        <xdr:cNvPr id="12" name="Right Arrow 11">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8934450" y="368300"/>
          <a:ext cx="719138" cy="401638"/>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ap="flat" cmpd="tri" algn="ctr">
          <a:solidFill>
            <a:srgbClr val="4F81BD">
              <a:shade val="50000"/>
            </a:srgbClr>
          </a:solidFill>
          <a:prstDash val="solid"/>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mbria" panose="020F0302020204030204"/>
              <a:ea typeface="+mn-ea"/>
              <a:cs typeface="+mn-cs"/>
            </a:rPr>
            <a:t>NEXT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1212850</xdr:colOff>
      <xdr:row>30</xdr:row>
      <xdr:rowOff>25400</xdr:rowOff>
    </xdr:from>
    <xdr:to>
      <xdr:col>8</xdr:col>
      <xdr:colOff>184150</xdr:colOff>
      <xdr:row>33</xdr:row>
      <xdr:rowOff>158750</xdr:rowOff>
    </xdr:to>
    <xdr:sp macro="" textlink="">
      <xdr:nvSpPr>
        <xdr:cNvPr id="2" name="Frame 1">
          <a:extLst>
            <a:ext uri="{FF2B5EF4-FFF2-40B4-BE49-F238E27FC236}">
              <a16:creationId xmlns:a16="http://schemas.microsoft.com/office/drawing/2014/main" id="{00000000-0008-0000-0300-000002000000}"/>
            </a:ext>
          </a:extLst>
        </xdr:cNvPr>
        <xdr:cNvSpPr/>
      </xdr:nvSpPr>
      <xdr:spPr>
        <a:xfrm>
          <a:off x="1517650" y="6121400"/>
          <a:ext cx="4673600" cy="1073150"/>
        </a:xfrm>
        <a:prstGeom prst="frame">
          <a:avLst/>
        </a:prstGeom>
        <a:gradFill>
          <a:gsLst>
            <a:gs pos="0">
              <a:srgbClr val="FFFFFF"/>
            </a:gs>
            <a:gs pos="16000">
              <a:srgbClr val="1F1F1F"/>
            </a:gs>
            <a:gs pos="17999">
              <a:srgbClr val="FFFFFF"/>
            </a:gs>
            <a:gs pos="42000">
              <a:srgbClr val="636363"/>
            </a:gs>
            <a:gs pos="53000">
              <a:srgbClr val="CFCFCF"/>
            </a:gs>
            <a:gs pos="66000">
              <a:srgbClr val="CFCFCF"/>
            </a:gs>
            <a:gs pos="75999">
              <a:srgbClr val="1F1F1F"/>
            </a:gs>
            <a:gs pos="78999">
              <a:srgbClr val="FFFFFF"/>
            </a:gs>
            <a:gs pos="100000">
              <a:srgbClr val="7F7F7F"/>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3</xdr:col>
      <xdr:colOff>152400</xdr:colOff>
      <xdr:row>29</xdr:row>
      <xdr:rowOff>107949</xdr:rowOff>
    </xdr:from>
    <xdr:to>
      <xdr:col>6</xdr:col>
      <xdr:colOff>184150</xdr:colOff>
      <xdr:row>30</xdr:row>
      <xdr:rowOff>21166</xdr:rowOff>
    </xdr:to>
    <xdr:sp macro="" textlink="">
      <xdr:nvSpPr>
        <xdr:cNvPr id="3" name="Down Ribbon 2">
          <a:extLst>
            <a:ext uri="{FF2B5EF4-FFF2-40B4-BE49-F238E27FC236}">
              <a16:creationId xmlns:a16="http://schemas.microsoft.com/office/drawing/2014/main" id="{00000000-0008-0000-0300-000003000000}"/>
            </a:ext>
          </a:extLst>
        </xdr:cNvPr>
        <xdr:cNvSpPr/>
      </xdr:nvSpPr>
      <xdr:spPr>
        <a:xfrm>
          <a:off x="3115733" y="8553449"/>
          <a:ext cx="2487084" cy="294217"/>
        </a:xfrm>
        <a:prstGeom prst="ribbon">
          <a:avLst>
            <a:gd name="adj1" fmla="val 33333"/>
            <a:gd name="adj2" fmla="val 50643"/>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l"/>
          <a:r>
            <a:rPr lang="en-GB" sz="1100"/>
            <a:t>SI</a:t>
          </a:r>
          <a:r>
            <a:rPr lang="en-GB" sz="1100" baseline="0"/>
            <a:t> </a:t>
          </a:r>
          <a:r>
            <a:rPr lang="en-GB" sz="1100" baseline="0">
              <a:latin typeface="+mj-lt"/>
            </a:rPr>
            <a:t>PREMIUM</a:t>
          </a:r>
          <a:endParaRPr lang="en-GB" sz="1100">
            <a:latin typeface="+mj-lt"/>
          </a:endParaRPr>
        </a:p>
      </xdr:txBody>
    </xdr:sp>
    <xdr:clientData/>
  </xdr:twoCellAnchor>
  <xdr:twoCellAnchor>
    <xdr:from>
      <xdr:col>22</xdr:col>
      <xdr:colOff>0</xdr:colOff>
      <xdr:row>29</xdr:row>
      <xdr:rowOff>0</xdr:rowOff>
    </xdr:from>
    <xdr:to>
      <xdr:col>26</xdr:col>
      <xdr:colOff>68439</xdr:colOff>
      <xdr:row>38</xdr:row>
      <xdr:rowOff>26458</xdr:rowOff>
    </xdr:to>
    <xdr:sp macro="" textlink="">
      <xdr:nvSpPr>
        <xdr:cNvPr id="9" name="Vertical Scroll 8">
          <a:extLst>
            <a:ext uri="{FF2B5EF4-FFF2-40B4-BE49-F238E27FC236}">
              <a16:creationId xmlns:a16="http://schemas.microsoft.com/office/drawing/2014/main" id="{00000000-0008-0000-0300-000009000000}"/>
            </a:ext>
          </a:extLst>
        </xdr:cNvPr>
        <xdr:cNvSpPr/>
      </xdr:nvSpPr>
      <xdr:spPr>
        <a:xfrm>
          <a:off x="14654389" y="7330722"/>
          <a:ext cx="2495550" cy="2651125"/>
        </a:xfrm>
        <a:prstGeom prst="verticalScroll">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hi-IN" sz="1100"/>
            <a:t>यदि आपने NPS मे वेतन में से कटौति के  अतिरिक्त राशि जमा करवाई है जो 50000 रु</a:t>
          </a:r>
          <a:r>
            <a:rPr lang="hi-IN" sz="1100" baseline="0"/>
            <a:t> से कम है तथा 80CCD1(B) की अधिकतम सीमा तक बाकी वेतन से कर्मचारी अंशदान से SPLIT कर लाभ लेना चाहते है तो प्रोग्राम AUTOMATIC गणना करेगा। आपको K 28 सेल में आप द्वारा जमा करवाई गई राशि भरनी है। </a:t>
          </a:r>
          <a:r>
            <a:rPr lang="hi-IN" sz="1100"/>
            <a:t> </a:t>
          </a:r>
          <a:endParaRPr lang="en-GB" sz="1100"/>
        </a:p>
      </xdr:txBody>
    </xdr:sp>
    <xdr:clientData/>
  </xdr:twoCellAnchor>
  <xdr:twoCellAnchor>
    <xdr:from>
      <xdr:col>1</xdr:col>
      <xdr:colOff>105834</xdr:colOff>
      <xdr:row>1</xdr:row>
      <xdr:rowOff>35278</xdr:rowOff>
    </xdr:from>
    <xdr:to>
      <xdr:col>1</xdr:col>
      <xdr:colOff>791634</xdr:colOff>
      <xdr:row>2</xdr:row>
      <xdr:rowOff>316266</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0300-00000B000000}"/>
            </a:ext>
          </a:extLst>
        </xdr:cNvPr>
        <xdr:cNvSpPr/>
      </xdr:nvSpPr>
      <xdr:spPr>
        <a:xfrm>
          <a:off x="409223" y="218722"/>
          <a:ext cx="685800" cy="471488"/>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w="25400" cap="flat" cmpd="sng" algn="ctr">
          <a:solidFill>
            <a:srgbClr val="00FF99"/>
          </a:solidFill>
          <a:prstDash val="solid"/>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mbria" panose="020F0302020204030204"/>
              <a:ea typeface="+mn-ea"/>
              <a:cs typeface="+mn-cs"/>
            </a:rPr>
            <a:t>BACK</a:t>
          </a:r>
        </a:p>
      </xdr:txBody>
    </xdr:sp>
    <xdr:clientData/>
  </xdr:twoCellAnchor>
  <xdr:twoCellAnchor>
    <xdr:from>
      <xdr:col>16</xdr:col>
      <xdr:colOff>0</xdr:colOff>
      <xdr:row>2</xdr:row>
      <xdr:rowOff>0</xdr:rowOff>
    </xdr:from>
    <xdr:to>
      <xdr:col>17</xdr:col>
      <xdr:colOff>112360</xdr:colOff>
      <xdr:row>3</xdr:row>
      <xdr:rowOff>77082</xdr:rowOff>
    </xdr:to>
    <xdr:sp macro="" textlink="">
      <xdr:nvSpPr>
        <xdr:cNvPr id="13" name="Right Arrow 12">
          <a:hlinkClick xmlns:r="http://schemas.openxmlformats.org/officeDocument/2006/relationships" r:id="rId2"/>
          <a:extLst>
            <a:ext uri="{FF2B5EF4-FFF2-40B4-BE49-F238E27FC236}">
              <a16:creationId xmlns:a16="http://schemas.microsoft.com/office/drawing/2014/main" id="{00000000-0008-0000-0300-00000D000000}"/>
            </a:ext>
          </a:extLst>
        </xdr:cNvPr>
        <xdr:cNvSpPr/>
      </xdr:nvSpPr>
      <xdr:spPr>
        <a:xfrm>
          <a:off x="11415889" y="373944"/>
          <a:ext cx="719138" cy="401638"/>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ap="flat" cmpd="tri" algn="ctr">
          <a:solidFill>
            <a:srgbClr val="4F81BD">
              <a:shade val="50000"/>
            </a:srgbClr>
          </a:solidFill>
          <a:prstDash val="solid"/>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mbria" panose="020F0302020204030204"/>
              <a:ea typeface="+mn-ea"/>
              <a:cs typeface="+mn-cs"/>
            </a:rPr>
            <a:t>NEXT</a:t>
          </a:r>
        </a:p>
      </xdr:txBody>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04"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05"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06"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07"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08"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09"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4"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5"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6"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7"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8"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2"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4"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5"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6"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7"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8"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9"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20"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21"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22"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23"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24"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25"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26"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27"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28"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29"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30"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31"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10"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4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11"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47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12"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48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13"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49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14"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4A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15"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4B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16"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4C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17"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4D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18"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4E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19"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4F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20"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50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21"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5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22"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52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23"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53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24"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54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25"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55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26"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5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27"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57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28"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58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29"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59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30"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5A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31"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32"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33"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34"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35"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272"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273"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274"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275"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276"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277"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278"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279"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280"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281"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282"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283"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284"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285"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286"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287"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288"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289"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291"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294"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36"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37"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38"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39"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40"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41"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65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42"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6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43"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67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44"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68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45"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69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46"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6A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47"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6B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48"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6C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167640</xdr:colOff>
          <xdr:row>10</xdr:row>
          <xdr:rowOff>53340</xdr:rowOff>
        </xdr:from>
        <xdr:to>
          <xdr:col>14</xdr:col>
          <xdr:colOff>220980</xdr:colOff>
          <xdr:row>10</xdr:row>
          <xdr:rowOff>396240</xdr:rowOff>
        </xdr:to>
        <xdr:sp macro="" textlink="">
          <xdr:nvSpPr>
            <xdr:cNvPr id="10290" name="Group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11</xdr:row>
          <xdr:rowOff>91440</xdr:rowOff>
        </xdr:from>
        <xdr:to>
          <xdr:col>14</xdr:col>
          <xdr:colOff>205740</xdr:colOff>
          <xdr:row>11</xdr:row>
          <xdr:rowOff>388620</xdr:rowOff>
        </xdr:to>
        <xdr:sp macro="" textlink="">
          <xdr:nvSpPr>
            <xdr:cNvPr id="10292" name="Group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12</xdr:row>
          <xdr:rowOff>68580</xdr:rowOff>
        </xdr:from>
        <xdr:to>
          <xdr:col>14</xdr:col>
          <xdr:colOff>213360</xdr:colOff>
          <xdr:row>12</xdr:row>
          <xdr:rowOff>396240</xdr:rowOff>
        </xdr:to>
        <xdr:sp macro="" textlink="">
          <xdr:nvSpPr>
            <xdr:cNvPr id="10293" name="Group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457200</xdr:colOff>
          <xdr:row>10</xdr:row>
          <xdr:rowOff>68580</xdr:rowOff>
        </xdr:from>
        <xdr:to>
          <xdr:col>12</xdr:col>
          <xdr:colOff>0</xdr:colOff>
          <xdr:row>10</xdr:row>
          <xdr:rowOff>320040</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Gen Rs 25000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10</xdr:row>
          <xdr:rowOff>121920</xdr:rowOff>
        </xdr:from>
        <xdr:to>
          <xdr:col>14</xdr:col>
          <xdr:colOff>144780</xdr:colOff>
          <xdr:row>10</xdr:row>
          <xdr:rowOff>365760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For Sr Citizen Rs 50000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502920</xdr:colOff>
          <xdr:row>11</xdr:row>
          <xdr:rowOff>60960</xdr:rowOff>
        </xdr:from>
        <xdr:to>
          <xdr:col>12</xdr:col>
          <xdr:colOff>0</xdr:colOff>
          <xdr:row>11</xdr:row>
          <xdr:rowOff>304800</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Gen Rs 75000</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121920</xdr:colOff>
          <xdr:row>11</xdr:row>
          <xdr:rowOff>53340</xdr:rowOff>
        </xdr:from>
        <xdr:to>
          <xdr:col>14</xdr:col>
          <xdr:colOff>182880</xdr:colOff>
          <xdr:row>11</xdr:row>
          <xdr:rowOff>297180</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above 80% Rs 125000</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502920</xdr:colOff>
          <xdr:row>12</xdr:row>
          <xdr:rowOff>76200</xdr:rowOff>
        </xdr:from>
        <xdr:to>
          <xdr:col>12</xdr:col>
          <xdr:colOff>0</xdr:colOff>
          <xdr:row>12</xdr:row>
          <xdr:rowOff>289560</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Gen Rs 40000</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15240</xdr:colOff>
          <xdr:row>12</xdr:row>
          <xdr:rowOff>30480</xdr:rowOff>
        </xdr:from>
        <xdr:to>
          <xdr:col>14</xdr:col>
          <xdr:colOff>137160</xdr:colOff>
          <xdr:row>12</xdr:row>
          <xdr:rowOff>274320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For Sr Citizen Rs 100000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15</xdr:row>
          <xdr:rowOff>83820</xdr:rowOff>
        </xdr:from>
        <xdr:to>
          <xdr:col>14</xdr:col>
          <xdr:colOff>198120</xdr:colOff>
          <xdr:row>15</xdr:row>
          <xdr:rowOff>403860</xdr:rowOff>
        </xdr:to>
        <xdr:sp macro="" textlink="">
          <xdr:nvSpPr>
            <xdr:cNvPr id="10301" name="Group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510540</xdr:colOff>
          <xdr:row>15</xdr:row>
          <xdr:rowOff>68580</xdr:rowOff>
        </xdr:from>
        <xdr:to>
          <xdr:col>12</xdr:col>
          <xdr:colOff>0</xdr:colOff>
          <xdr:row>15</xdr:row>
          <xdr:rowOff>304800</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Gen Rs.75000</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15</xdr:row>
          <xdr:rowOff>76200</xdr:rowOff>
        </xdr:from>
        <xdr:to>
          <xdr:col>14</xdr:col>
          <xdr:colOff>83820</xdr:colOff>
          <xdr:row>15</xdr:row>
          <xdr:rowOff>312420</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3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above 80% Rs 125000</a:t>
              </a:r>
            </a:p>
          </xdr:txBody>
        </xdr:sp>
        <xdr:clientData/>
      </xdr:twoCellAnchor>
    </mc:Choice>
    <mc:Fallback/>
  </mc:AlternateContent>
  <xdr:twoCellAnchor editAs="oneCell">
    <xdr:from>
      <xdr:col>10</xdr:col>
      <xdr:colOff>167640</xdr:colOff>
      <xdr:row>10</xdr:row>
      <xdr:rowOff>53340</xdr:rowOff>
    </xdr:from>
    <xdr:to>
      <xdr:col>14</xdr:col>
      <xdr:colOff>220980</xdr:colOff>
      <xdr:row>10</xdr:row>
      <xdr:rowOff>396240</xdr:rowOff>
    </xdr:to>
    <xdr:sp macro="" textlink="">
      <xdr:nvSpPr>
        <xdr:cNvPr id="10349"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6D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50"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6E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51"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6F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52"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70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53"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7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54"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72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55"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73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56"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74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57"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75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58"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76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59"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77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60"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78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61" name="Group Box 50" hidden="1">
          <a:extLst>
            <a:ext uri="{63B3BB69-23CF-44E3-9099-C40C66FF867C}">
              <a14:compatExt xmlns:a14="http://schemas.microsoft.com/office/drawing/2010/main" spid="_x0000_s10304"/>
            </a:ext>
            <a:ext uri="{FF2B5EF4-FFF2-40B4-BE49-F238E27FC236}">
              <a16:creationId xmlns:a16="http://schemas.microsoft.com/office/drawing/2014/main" id="{00000000-0008-0000-0300-000079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62" name="Group Box 52" hidden="1">
          <a:extLst>
            <a:ext uri="{63B3BB69-23CF-44E3-9099-C40C66FF867C}">
              <a14:compatExt xmlns:a14="http://schemas.microsoft.com/office/drawing/2010/main" spid="_x0000_s10305"/>
            </a:ext>
            <a:ext uri="{FF2B5EF4-FFF2-40B4-BE49-F238E27FC236}">
              <a16:creationId xmlns:a16="http://schemas.microsoft.com/office/drawing/2014/main" id="{00000000-0008-0000-0300-00007A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63" name="Group Box 53" hidden="1">
          <a:extLst>
            <a:ext uri="{63B3BB69-23CF-44E3-9099-C40C66FF867C}">
              <a14:compatExt xmlns:a14="http://schemas.microsoft.com/office/drawing/2010/main" spid="_x0000_s10306"/>
            </a:ext>
            <a:ext uri="{FF2B5EF4-FFF2-40B4-BE49-F238E27FC236}">
              <a16:creationId xmlns:a16="http://schemas.microsoft.com/office/drawing/2014/main" id="{00000000-0008-0000-0300-00007B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64" name="Option Button 55" hidden="1">
          <a:extLst>
            <a:ext uri="{63B3BB69-23CF-44E3-9099-C40C66FF867C}">
              <a14:compatExt xmlns:a14="http://schemas.microsoft.com/office/drawing/2010/main" spid="_x0000_s10307"/>
            </a:ext>
            <a:ext uri="{FF2B5EF4-FFF2-40B4-BE49-F238E27FC236}">
              <a16:creationId xmlns:a16="http://schemas.microsoft.com/office/drawing/2014/main" id="{00000000-0008-0000-0300-00007C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65" name="Option Button 57" hidden="1">
          <a:extLst>
            <a:ext uri="{63B3BB69-23CF-44E3-9099-C40C66FF867C}">
              <a14:compatExt xmlns:a14="http://schemas.microsoft.com/office/drawing/2010/main" spid="_x0000_s10308"/>
            </a:ext>
            <a:ext uri="{FF2B5EF4-FFF2-40B4-BE49-F238E27FC236}">
              <a16:creationId xmlns:a16="http://schemas.microsoft.com/office/drawing/2014/main" id="{00000000-0008-0000-0300-00007D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66" name="Option Button 59" hidden="1">
          <a:extLst>
            <a:ext uri="{63B3BB69-23CF-44E3-9099-C40C66FF867C}">
              <a14:compatExt xmlns:a14="http://schemas.microsoft.com/office/drawing/2010/main" spid="_x0000_s10309"/>
            </a:ext>
            <a:ext uri="{FF2B5EF4-FFF2-40B4-BE49-F238E27FC236}">
              <a16:creationId xmlns:a16="http://schemas.microsoft.com/office/drawing/2014/main" id="{00000000-0008-0000-0300-00007E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67" name="Group Box 50" hidden="1">
          <a:extLst>
            <a:ext uri="{63B3BB69-23CF-44E3-9099-C40C66FF867C}">
              <a14:compatExt xmlns:a14="http://schemas.microsoft.com/office/drawing/2010/main" spid="_x0000_s10304"/>
            </a:ext>
            <a:ext uri="{FF2B5EF4-FFF2-40B4-BE49-F238E27FC236}">
              <a16:creationId xmlns:a16="http://schemas.microsoft.com/office/drawing/2014/main" id="{9969439A-4E84-3964-0954-D7924D6BD4FE}"/>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68" name="Group Box 52" hidden="1">
          <a:extLst>
            <a:ext uri="{63B3BB69-23CF-44E3-9099-C40C66FF867C}">
              <a14:compatExt xmlns:a14="http://schemas.microsoft.com/office/drawing/2010/main" spid="_x0000_s10305"/>
            </a:ext>
            <a:ext uri="{FF2B5EF4-FFF2-40B4-BE49-F238E27FC236}">
              <a16:creationId xmlns:a16="http://schemas.microsoft.com/office/drawing/2014/main" id="{805037E1-FE10-8645-08EA-0ACDFA0832C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69" name="Group Box 53" hidden="1">
          <a:extLst>
            <a:ext uri="{63B3BB69-23CF-44E3-9099-C40C66FF867C}">
              <a14:compatExt xmlns:a14="http://schemas.microsoft.com/office/drawing/2010/main" spid="_x0000_s10306"/>
            </a:ext>
            <a:ext uri="{FF2B5EF4-FFF2-40B4-BE49-F238E27FC236}">
              <a16:creationId xmlns:a16="http://schemas.microsoft.com/office/drawing/2014/main" id="{91ACC1E3-F310-3E8E-D75E-ED548EC315D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70" name="Option Button 55" hidden="1">
          <a:extLst>
            <a:ext uri="{63B3BB69-23CF-44E3-9099-C40C66FF867C}">
              <a14:compatExt xmlns:a14="http://schemas.microsoft.com/office/drawing/2010/main" spid="_x0000_s10307"/>
            </a:ext>
            <a:ext uri="{FF2B5EF4-FFF2-40B4-BE49-F238E27FC236}">
              <a16:creationId xmlns:a16="http://schemas.microsoft.com/office/drawing/2014/main" id="{4F621869-A747-7E0E-0701-245F111D237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71" name="Option Button 57" hidden="1">
          <a:extLst>
            <a:ext uri="{63B3BB69-23CF-44E3-9099-C40C66FF867C}">
              <a14:compatExt xmlns:a14="http://schemas.microsoft.com/office/drawing/2010/main" spid="_x0000_s10308"/>
            </a:ext>
            <a:ext uri="{FF2B5EF4-FFF2-40B4-BE49-F238E27FC236}">
              <a16:creationId xmlns:a16="http://schemas.microsoft.com/office/drawing/2014/main" id="{BF4546C2-513F-FCAE-64E6-389110713A3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72" name="Option Button 59" hidden="1">
          <a:extLst>
            <a:ext uri="{63B3BB69-23CF-44E3-9099-C40C66FF867C}">
              <a14:compatExt xmlns:a14="http://schemas.microsoft.com/office/drawing/2010/main" spid="_x0000_s10309"/>
            </a:ext>
            <a:ext uri="{FF2B5EF4-FFF2-40B4-BE49-F238E27FC236}">
              <a16:creationId xmlns:a16="http://schemas.microsoft.com/office/drawing/2014/main" id="{E7C7C512-223D-7F36-28E7-95DA22B1A25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73" name="Group Box 50" hidden="1">
          <a:extLst>
            <a:ext uri="{63B3BB69-23CF-44E3-9099-C40C66FF867C}">
              <a14:compatExt xmlns:a14="http://schemas.microsoft.com/office/drawing/2010/main" spid="_x0000_s10304"/>
            </a:ext>
            <a:ext uri="{FF2B5EF4-FFF2-40B4-BE49-F238E27FC236}">
              <a16:creationId xmlns:a16="http://schemas.microsoft.com/office/drawing/2014/main" id="{31B7CD53-61E8-48D0-9D55-8DFAEC44E6F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74" name="Group Box 52" hidden="1">
          <a:extLst>
            <a:ext uri="{63B3BB69-23CF-44E3-9099-C40C66FF867C}">
              <a14:compatExt xmlns:a14="http://schemas.microsoft.com/office/drawing/2010/main" spid="_x0000_s10305"/>
            </a:ext>
            <a:ext uri="{FF2B5EF4-FFF2-40B4-BE49-F238E27FC236}">
              <a16:creationId xmlns:a16="http://schemas.microsoft.com/office/drawing/2014/main" id="{15BC127D-9E21-3811-39D4-7E049E5E375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75" name="Group Box 53" hidden="1">
          <a:extLst>
            <a:ext uri="{63B3BB69-23CF-44E3-9099-C40C66FF867C}">
              <a14:compatExt xmlns:a14="http://schemas.microsoft.com/office/drawing/2010/main" spid="_x0000_s10306"/>
            </a:ext>
            <a:ext uri="{FF2B5EF4-FFF2-40B4-BE49-F238E27FC236}">
              <a16:creationId xmlns:a16="http://schemas.microsoft.com/office/drawing/2014/main" id="{88F27DA1-4EB2-23AA-EE08-6E163A7E98A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76" name="Option Button 55" hidden="1">
          <a:extLst>
            <a:ext uri="{63B3BB69-23CF-44E3-9099-C40C66FF867C}">
              <a14:compatExt xmlns:a14="http://schemas.microsoft.com/office/drawing/2010/main" spid="_x0000_s10307"/>
            </a:ext>
            <a:ext uri="{FF2B5EF4-FFF2-40B4-BE49-F238E27FC236}">
              <a16:creationId xmlns:a16="http://schemas.microsoft.com/office/drawing/2014/main" id="{77FDDBCC-31E6-7967-4D60-1E43BF077E91}"/>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77" name="Option Button 57" hidden="1">
          <a:extLst>
            <a:ext uri="{63B3BB69-23CF-44E3-9099-C40C66FF867C}">
              <a14:compatExt xmlns:a14="http://schemas.microsoft.com/office/drawing/2010/main" spid="_x0000_s10308"/>
            </a:ext>
            <a:ext uri="{FF2B5EF4-FFF2-40B4-BE49-F238E27FC236}">
              <a16:creationId xmlns:a16="http://schemas.microsoft.com/office/drawing/2014/main" id="{DF373EED-482D-4A26-7264-5FEA64B5A82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78" name="Option Button 59" hidden="1">
          <a:extLst>
            <a:ext uri="{63B3BB69-23CF-44E3-9099-C40C66FF867C}">
              <a14:compatExt xmlns:a14="http://schemas.microsoft.com/office/drawing/2010/main" spid="_x0000_s10309"/>
            </a:ext>
            <a:ext uri="{FF2B5EF4-FFF2-40B4-BE49-F238E27FC236}">
              <a16:creationId xmlns:a16="http://schemas.microsoft.com/office/drawing/2014/main" id="{AF494261-45F0-C457-406C-67DA9DEF29C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79" name="Group Box 50" hidden="1">
          <a:extLst>
            <a:ext uri="{63B3BB69-23CF-44E3-9099-C40C66FF867C}">
              <a14:compatExt xmlns:a14="http://schemas.microsoft.com/office/drawing/2010/main" spid="_x0000_s10304"/>
            </a:ext>
            <a:ext uri="{FF2B5EF4-FFF2-40B4-BE49-F238E27FC236}">
              <a16:creationId xmlns:a16="http://schemas.microsoft.com/office/drawing/2014/main" id="{094EB76E-10C8-911F-1EC1-56BA3E4F1CD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80" name="Group Box 52" hidden="1">
          <a:extLst>
            <a:ext uri="{63B3BB69-23CF-44E3-9099-C40C66FF867C}">
              <a14:compatExt xmlns:a14="http://schemas.microsoft.com/office/drawing/2010/main" spid="_x0000_s10305"/>
            </a:ext>
            <a:ext uri="{FF2B5EF4-FFF2-40B4-BE49-F238E27FC236}">
              <a16:creationId xmlns:a16="http://schemas.microsoft.com/office/drawing/2014/main" id="{36D0DEF1-E90E-B114-69D8-9BD73536D71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81" name="Group Box 53" hidden="1">
          <a:extLst>
            <a:ext uri="{63B3BB69-23CF-44E3-9099-C40C66FF867C}">
              <a14:compatExt xmlns:a14="http://schemas.microsoft.com/office/drawing/2010/main" spid="_x0000_s10306"/>
            </a:ext>
            <a:ext uri="{FF2B5EF4-FFF2-40B4-BE49-F238E27FC236}">
              <a16:creationId xmlns:a16="http://schemas.microsoft.com/office/drawing/2014/main" id="{0E98000F-475C-B671-E63B-AEEB8E09302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82" name="Option Button 55" hidden="1">
          <a:extLst>
            <a:ext uri="{63B3BB69-23CF-44E3-9099-C40C66FF867C}">
              <a14:compatExt xmlns:a14="http://schemas.microsoft.com/office/drawing/2010/main" spid="_x0000_s10307"/>
            </a:ext>
            <a:ext uri="{FF2B5EF4-FFF2-40B4-BE49-F238E27FC236}">
              <a16:creationId xmlns:a16="http://schemas.microsoft.com/office/drawing/2014/main" id="{85EBE7ED-6418-BAA5-AADD-2B989FBCB45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83" name="Option Button 57" hidden="1">
          <a:extLst>
            <a:ext uri="{63B3BB69-23CF-44E3-9099-C40C66FF867C}">
              <a14:compatExt xmlns:a14="http://schemas.microsoft.com/office/drawing/2010/main" spid="_x0000_s10308"/>
            </a:ext>
            <a:ext uri="{FF2B5EF4-FFF2-40B4-BE49-F238E27FC236}">
              <a16:creationId xmlns:a16="http://schemas.microsoft.com/office/drawing/2014/main" id="{A4938E06-5211-AD96-21EF-08446B7BFA6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84" name="Option Button 59" hidden="1">
          <a:extLst>
            <a:ext uri="{63B3BB69-23CF-44E3-9099-C40C66FF867C}">
              <a14:compatExt xmlns:a14="http://schemas.microsoft.com/office/drawing/2010/main" spid="_x0000_s10309"/>
            </a:ext>
            <a:ext uri="{FF2B5EF4-FFF2-40B4-BE49-F238E27FC236}">
              <a16:creationId xmlns:a16="http://schemas.microsoft.com/office/drawing/2014/main" id="{7A3DEAE8-A887-B743-B410-258CD7F21B7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85" name="Group Box 50" hidden="1">
          <a:extLst>
            <a:ext uri="{63B3BB69-23CF-44E3-9099-C40C66FF867C}">
              <a14:compatExt xmlns:a14="http://schemas.microsoft.com/office/drawing/2010/main" spid="_x0000_s10304"/>
            </a:ext>
            <a:ext uri="{FF2B5EF4-FFF2-40B4-BE49-F238E27FC236}">
              <a16:creationId xmlns:a16="http://schemas.microsoft.com/office/drawing/2014/main" id="{599C064C-6C96-EAD9-7E66-230CCFF768A3}"/>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86" name="Group Box 52" hidden="1">
          <a:extLst>
            <a:ext uri="{63B3BB69-23CF-44E3-9099-C40C66FF867C}">
              <a14:compatExt xmlns:a14="http://schemas.microsoft.com/office/drawing/2010/main" spid="_x0000_s10305"/>
            </a:ext>
            <a:ext uri="{FF2B5EF4-FFF2-40B4-BE49-F238E27FC236}">
              <a16:creationId xmlns:a16="http://schemas.microsoft.com/office/drawing/2014/main" id="{F6F23F5F-9A47-1381-98E6-1726324E838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87" name="Group Box 53" hidden="1">
          <a:extLst>
            <a:ext uri="{63B3BB69-23CF-44E3-9099-C40C66FF867C}">
              <a14:compatExt xmlns:a14="http://schemas.microsoft.com/office/drawing/2010/main" spid="_x0000_s10306"/>
            </a:ext>
            <a:ext uri="{FF2B5EF4-FFF2-40B4-BE49-F238E27FC236}">
              <a16:creationId xmlns:a16="http://schemas.microsoft.com/office/drawing/2014/main" id="{1C1A76B4-1396-49B2-AEDE-E7C36D14AF8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88" name="Option Button 55" hidden="1">
          <a:extLst>
            <a:ext uri="{63B3BB69-23CF-44E3-9099-C40C66FF867C}">
              <a14:compatExt xmlns:a14="http://schemas.microsoft.com/office/drawing/2010/main" spid="_x0000_s10307"/>
            </a:ext>
            <a:ext uri="{FF2B5EF4-FFF2-40B4-BE49-F238E27FC236}">
              <a16:creationId xmlns:a16="http://schemas.microsoft.com/office/drawing/2014/main" id="{17BC8634-166F-6D95-8C5F-348FAC63C4F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89" name="Option Button 57" hidden="1">
          <a:extLst>
            <a:ext uri="{63B3BB69-23CF-44E3-9099-C40C66FF867C}">
              <a14:compatExt xmlns:a14="http://schemas.microsoft.com/office/drawing/2010/main" spid="_x0000_s10308"/>
            </a:ext>
            <a:ext uri="{FF2B5EF4-FFF2-40B4-BE49-F238E27FC236}">
              <a16:creationId xmlns:a16="http://schemas.microsoft.com/office/drawing/2014/main" id="{965B2FA3-CB30-462F-059C-E754CD2569E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90" name="Option Button 59" hidden="1">
          <a:extLst>
            <a:ext uri="{63B3BB69-23CF-44E3-9099-C40C66FF867C}">
              <a14:compatExt xmlns:a14="http://schemas.microsoft.com/office/drawing/2010/main" spid="_x0000_s10309"/>
            </a:ext>
            <a:ext uri="{FF2B5EF4-FFF2-40B4-BE49-F238E27FC236}">
              <a16:creationId xmlns:a16="http://schemas.microsoft.com/office/drawing/2014/main" id="{CCE967C1-3446-F3F7-9A3E-CCD83BE1F103}"/>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91" name="Group Box 50" hidden="1">
          <a:extLst>
            <a:ext uri="{63B3BB69-23CF-44E3-9099-C40C66FF867C}">
              <a14:compatExt xmlns:a14="http://schemas.microsoft.com/office/drawing/2010/main" spid="_x0000_s10304"/>
            </a:ext>
            <a:ext uri="{FF2B5EF4-FFF2-40B4-BE49-F238E27FC236}">
              <a16:creationId xmlns:a16="http://schemas.microsoft.com/office/drawing/2014/main" id="{0F539094-F9BB-EC3A-BEB5-AA799DA325F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92" name="Group Box 52" hidden="1">
          <a:extLst>
            <a:ext uri="{63B3BB69-23CF-44E3-9099-C40C66FF867C}">
              <a14:compatExt xmlns:a14="http://schemas.microsoft.com/office/drawing/2010/main" spid="_x0000_s10305"/>
            </a:ext>
            <a:ext uri="{FF2B5EF4-FFF2-40B4-BE49-F238E27FC236}">
              <a16:creationId xmlns:a16="http://schemas.microsoft.com/office/drawing/2014/main" id="{40927291-EB04-A5B1-233A-CF15341D7E3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93" name="Group Box 53" hidden="1">
          <a:extLst>
            <a:ext uri="{63B3BB69-23CF-44E3-9099-C40C66FF867C}">
              <a14:compatExt xmlns:a14="http://schemas.microsoft.com/office/drawing/2010/main" spid="_x0000_s10306"/>
            </a:ext>
            <a:ext uri="{FF2B5EF4-FFF2-40B4-BE49-F238E27FC236}">
              <a16:creationId xmlns:a16="http://schemas.microsoft.com/office/drawing/2014/main" id="{D64C04F6-5677-7541-C61B-F28F4EA8FFA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394" name="Option Button 55" hidden="1">
          <a:extLst>
            <a:ext uri="{63B3BB69-23CF-44E3-9099-C40C66FF867C}">
              <a14:compatExt xmlns:a14="http://schemas.microsoft.com/office/drawing/2010/main" spid="_x0000_s10307"/>
            </a:ext>
            <a:ext uri="{FF2B5EF4-FFF2-40B4-BE49-F238E27FC236}">
              <a16:creationId xmlns:a16="http://schemas.microsoft.com/office/drawing/2014/main" id="{4E8C4D8B-57EA-4D5E-E299-2E72CCAB8BB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395" name="Option Button 57" hidden="1">
          <a:extLst>
            <a:ext uri="{63B3BB69-23CF-44E3-9099-C40C66FF867C}">
              <a14:compatExt xmlns:a14="http://schemas.microsoft.com/office/drawing/2010/main" spid="_x0000_s10308"/>
            </a:ext>
            <a:ext uri="{FF2B5EF4-FFF2-40B4-BE49-F238E27FC236}">
              <a16:creationId xmlns:a16="http://schemas.microsoft.com/office/drawing/2014/main" id="{7B235AF0-20DC-F542-A00A-C01C722B54D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396" name="Option Button 59" hidden="1">
          <a:extLst>
            <a:ext uri="{63B3BB69-23CF-44E3-9099-C40C66FF867C}">
              <a14:compatExt xmlns:a14="http://schemas.microsoft.com/office/drawing/2010/main" spid="_x0000_s10309"/>
            </a:ext>
            <a:ext uri="{FF2B5EF4-FFF2-40B4-BE49-F238E27FC236}">
              <a16:creationId xmlns:a16="http://schemas.microsoft.com/office/drawing/2014/main" id="{E99B1467-85A1-091D-84B4-91739764E1A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397" name="Group Box 50" hidden="1">
          <a:extLst>
            <a:ext uri="{63B3BB69-23CF-44E3-9099-C40C66FF867C}">
              <a14:compatExt xmlns:a14="http://schemas.microsoft.com/office/drawing/2010/main" spid="_x0000_s10304"/>
            </a:ext>
            <a:ext uri="{FF2B5EF4-FFF2-40B4-BE49-F238E27FC236}">
              <a16:creationId xmlns:a16="http://schemas.microsoft.com/office/drawing/2014/main" id="{BC016956-4CAA-450F-937C-32F237239D5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398" name="Group Box 52" hidden="1">
          <a:extLst>
            <a:ext uri="{63B3BB69-23CF-44E3-9099-C40C66FF867C}">
              <a14:compatExt xmlns:a14="http://schemas.microsoft.com/office/drawing/2010/main" spid="_x0000_s10305"/>
            </a:ext>
            <a:ext uri="{FF2B5EF4-FFF2-40B4-BE49-F238E27FC236}">
              <a16:creationId xmlns:a16="http://schemas.microsoft.com/office/drawing/2014/main" id="{661C636E-603F-9A0D-CC8A-7EC8968F1D8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399" name="Group Box 53" hidden="1">
          <a:extLst>
            <a:ext uri="{63B3BB69-23CF-44E3-9099-C40C66FF867C}">
              <a14:compatExt xmlns:a14="http://schemas.microsoft.com/office/drawing/2010/main" spid="_x0000_s10306"/>
            </a:ext>
            <a:ext uri="{FF2B5EF4-FFF2-40B4-BE49-F238E27FC236}">
              <a16:creationId xmlns:a16="http://schemas.microsoft.com/office/drawing/2014/main" id="{ECDDD793-C968-69D2-5CB5-5206433643A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00" name="Option Button 55" hidden="1">
          <a:extLst>
            <a:ext uri="{63B3BB69-23CF-44E3-9099-C40C66FF867C}">
              <a14:compatExt xmlns:a14="http://schemas.microsoft.com/office/drawing/2010/main" spid="_x0000_s10307"/>
            </a:ext>
            <a:ext uri="{FF2B5EF4-FFF2-40B4-BE49-F238E27FC236}">
              <a16:creationId xmlns:a16="http://schemas.microsoft.com/office/drawing/2014/main" id="{4E2212A8-27D5-DA13-4F1C-5E16C3812E7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01" name="Option Button 57" hidden="1">
          <a:extLst>
            <a:ext uri="{63B3BB69-23CF-44E3-9099-C40C66FF867C}">
              <a14:compatExt xmlns:a14="http://schemas.microsoft.com/office/drawing/2010/main" spid="_x0000_s10308"/>
            </a:ext>
            <a:ext uri="{FF2B5EF4-FFF2-40B4-BE49-F238E27FC236}">
              <a16:creationId xmlns:a16="http://schemas.microsoft.com/office/drawing/2014/main" id="{DB7EA443-7015-407D-87BB-A2499AAC9B3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02" name="Option Button 59" hidden="1">
          <a:extLst>
            <a:ext uri="{63B3BB69-23CF-44E3-9099-C40C66FF867C}">
              <a14:compatExt xmlns:a14="http://schemas.microsoft.com/office/drawing/2010/main" spid="_x0000_s10309"/>
            </a:ext>
            <a:ext uri="{FF2B5EF4-FFF2-40B4-BE49-F238E27FC236}">
              <a16:creationId xmlns:a16="http://schemas.microsoft.com/office/drawing/2014/main" id="{7BECA830-5FCD-B015-22EC-A5638C12FCC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03" name="Group Box 50" hidden="1">
          <a:extLst>
            <a:ext uri="{63B3BB69-23CF-44E3-9099-C40C66FF867C}">
              <a14:compatExt xmlns:a14="http://schemas.microsoft.com/office/drawing/2010/main" spid="_x0000_s10304"/>
            </a:ext>
            <a:ext uri="{FF2B5EF4-FFF2-40B4-BE49-F238E27FC236}">
              <a16:creationId xmlns:a16="http://schemas.microsoft.com/office/drawing/2014/main" id="{A04537C8-836A-5D47-38A1-C9915E443BC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04" name="Group Box 52" hidden="1">
          <a:extLst>
            <a:ext uri="{63B3BB69-23CF-44E3-9099-C40C66FF867C}">
              <a14:compatExt xmlns:a14="http://schemas.microsoft.com/office/drawing/2010/main" spid="_x0000_s10305"/>
            </a:ext>
            <a:ext uri="{FF2B5EF4-FFF2-40B4-BE49-F238E27FC236}">
              <a16:creationId xmlns:a16="http://schemas.microsoft.com/office/drawing/2014/main" id="{5102040F-3E72-500B-153C-69ACEE3EF86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05" name="Group Box 53" hidden="1">
          <a:extLst>
            <a:ext uri="{63B3BB69-23CF-44E3-9099-C40C66FF867C}">
              <a14:compatExt xmlns:a14="http://schemas.microsoft.com/office/drawing/2010/main" spid="_x0000_s10306"/>
            </a:ext>
            <a:ext uri="{FF2B5EF4-FFF2-40B4-BE49-F238E27FC236}">
              <a16:creationId xmlns:a16="http://schemas.microsoft.com/office/drawing/2014/main" id="{A8BC655B-74FF-C229-23A3-66D5B8C8FCB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06" name="Option Button 55" hidden="1">
          <a:extLst>
            <a:ext uri="{63B3BB69-23CF-44E3-9099-C40C66FF867C}">
              <a14:compatExt xmlns:a14="http://schemas.microsoft.com/office/drawing/2010/main" spid="_x0000_s10307"/>
            </a:ext>
            <a:ext uri="{FF2B5EF4-FFF2-40B4-BE49-F238E27FC236}">
              <a16:creationId xmlns:a16="http://schemas.microsoft.com/office/drawing/2014/main" id="{CBA3FB44-5AD5-1F8E-2D18-CF504A58500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07" name="Option Button 57" hidden="1">
          <a:extLst>
            <a:ext uri="{63B3BB69-23CF-44E3-9099-C40C66FF867C}">
              <a14:compatExt xmlns:a14="http://schemas.microsoft.com/office/drawing/2010/main" spid="_x0000_s10308"/>
            </a:ext>
            <a:ext uri="{FF2B5EF4-FFF2-40B4-BE49-F238E27FC236}">
              <a16:creationId xmlns:a16="http://schemas.microsoft.com/office/drawing/2014/main" id="{68E4D8CF-FF51-27F9-3A1B-BD7E2EC2F67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08" name="Option Button 59" hidden="1">
          <a:extLst>
            <a:ext uri="{63B3BB69-23CF-44E3-9099-C40C66FF867C}">
              <a14:compatExt xmlns:a14="http://schemas.microsoft.com/office/drawing/2010/main" spid="_x0000_s10309"/>
            </a:ext>
            <a:ext uri="{FF2B5EF4-FFF2-40B4-BE49-F238E27FC236}">
              <a16:creationId xmlns:a16="http://schemas.microsoft.com/office/drawing/2014/main" id="{D81C7C89-AB94-A368-0DEE-CAA099A78C2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09" name="Group Box 50" hidden="1">
          <a:extLst>
            <a:ext uri="{63B3BB69-23CF-44E3-9099-C40C66FF867C}">
              <a14:compatExt xmlns:a14="http://schemas.microsoft.com/office/drawing/2010/main" spid="_x0000_s10304"/>
            </a:ext>
            <a:ext uri="{FF2B5EF4-FFF2-40B4-BE49-F238E27FC236}">
              <a16:creationId xmlns:a16="http://schemas.microsoft.com/office/drawing/2014/main" id="{0DAB16AD-CBBF-B7BF-328F-7C77254969B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10" name="Group Box 52" hidden="1">
          <a:extLst>
            <a:ext uri="{63B3BB69-23CF-44E3-9099-C40C66FF867C}">
              <a14:compatExt xmlns:a14="http://schemas.microsoft.com/office/drawing/2010/main" spid="_x0000_s10305"/>
            </a:ext>
            <a:ext uri="{FF2B5EF4-FFF2-40B4-BE49-F238E27FC236}">
              <a16:creationId xmlns:a16="http://schemas.microsoft.com/office/drawing/2014/main" id="{814B10E6-B736-506F-7198-AE2EDB3FF9B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11" name="Group Box 53" hidden="1">
          <a:extLst>
            <a:ext uri="{63B3BB69-23CF-44E3-9099-C40C66FF867C}">
              <a14:compatExt xmlns:a14="http://schemas.microsoft.com/office/drawing/2010/main" spid="_x0000_s10306"/>
            </a:ext>
            <a:ext uri="{FF2B5EF4-FFF2-40B4-BE49-F238E27FC236}">
              <a16:creationId xmlns:a16="http://schemas.microsoft.com/office/drawing/2014/main" id="{91F9A82D-A2E1-EB84-3653-5515A2A73B1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12" name="Option Button 55" hidden="1">
          <a:extLst>
            <a:ext uri="{63B3BB69-23CF-44E3-9099-C40C66FF867C}">
              <a14:compatExt xmlns:a14="http://schemas.microsoft.com/office/drawing/2010/main" spid="_x0000_s10307"/>
            </a:ext>
            <a:ext uri="{FF2B5EF4-FFF2-40B4-BE49-F238E27FC236}">
              <a16:creationId xmlns:a16="http://schemas.microsoft.com/office/drawing/2014/main" id="{F7669002-7B12-0162-36E7-E61FBACEB04F}"/>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13" name="Option Button 57" hidden="1">
          <a:extLst>
            <a:ext uri="{63B3BB69-23CF-44E3-9099-C40C66FF867C}">
              <a14:compatExt xmlns:a14="http://schemas.microsoft.com/office/drawing/2010/main" spid="_x0000_s10308"/>
            </a:ext>
            <a:ext uri="{FF2B5EF4-FFF2-40B4-BE49-F238E27FC236}">
              <a16:creationId xmlns:a16="http://schemas.microsoft.com/office/drawing/2014/main" id="{91355A92-35EC-26A0-66D2-34A072A4D99E}"/>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14" name="Option Button 59" hidden="1">
          <a:extLst>
            <a:ext uri="{63B3BB69-23CF-44E3-9099-C40C66FF867C}">
              <a14:compatExt xmlns:a14="http://schemas.microsoft.com/office/drawing/2010/main" spid="_x0000_s10309"/>
            </a:ext>
            <a:ext uri="{FF2B5EF4-FFF2-40B4-BE49-F238E27FC236}">
              <a16:creationId xmlns:a16="http://schemas.microsoft.com/office/drawing/2014/main" id="{44827D6A-F95A-28CC-72BB-F61901C967A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15" name="Group Box 50" hidden="1">
          <a:extLst>
            <a:ext uri="{63B3BB69-23CF-44E3-9099-C40C66FF867C}">
              <a14:compatExt xmlns:a14="http://schemas.microsoft.com/office/drawing/2010/main" spid="_x0000_s10304"/>
            </a:ext>
            <a:ext uri="{FF2B5EF4-FFF2-40B4-BE49-F238E27FC236}">
              <a16:creationId xmlns:a16="http://schemas.microsoft.com/office/drawing/2014/main" id="{3134C457-9DB4-AC74-5497-64C1B76D016F}"/>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16" name="Group Box 52" hidden="1">
          <a:extLst>
            <a:ext uri="{63B3BB69-23CF-44E3-9099-C40C66FF867C}">
              <a14:compatExt xmlns:a14="http://schemas.microsoft.com/office/drawing/2010/main" spid="_x0000_s10305"/>
            </a:ext>
            <a:ext uri="{FF2B5EF4-FFF2-40B4-BE49-F238E27FC236}">
              <a16:creationId xmlns:a16="http://schemas.microsoft.com/office/drawing/2014/main" id="{C7727C5F-089C-33DB-5A1B-0FB0821F5CA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17" name="Group Box 53" hidden="1">
          <a:extLst>
            <a:ext uri="{63B3BB69-23CF-44E3-9099-C40C66FF867C}">
              <a14:compatExt xmlns:a14="http://schemas.microsoft.com/office/drawing/2010/main" spid="_x0000_s10306"/>
            </a:ext>
            <a:ext uri="{FF2B5EF4-FFF2-40B4-BE49-F238E27FC236}">
              <a16:creationId xmlns:a16="http://schemas.microsoft.com/office/drawing/2014/main" id="{9C0A9485-8498-4507-68A6-E8CA36A2566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18" name="Option Button 55" hidden="1">
          <a:extLst>
            <a:ext uri="{63B3BB69-23CF-44E3-9099-C40C66FF867C}">
              <a14:compatExt xmlns:a14="http://schemas.microsoft.com/office/drawing/2010/main" spid="_x0000_s10307"/>
            </a:ext>
            <a:ext uri="{FF2B5EF4-FFF2-40B4-BE49-F238E27FC236}">
              <a16:creationId xmlns:a16="http://schemas.microsoft.com/office/drawing/2014/main" id="{A838FABE-AF5A-9B73-0AEB-131E8FEA313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19" name="Option Button 57" hidden="1">
          <a:extLst>
            <a:ext uri="{63B3BB69-23CF-44E3-9099-C40C66FF867C}">
              <a14:compatExt xmlns:a14="http://schemas.microsoft.com/office/drawing/2010/main" spid="_x0000_s10308"/>
            </a:ext>
            <a:ext uri="{FF2B5EF4-FFF2-40B4-BE49-F238E27FC236}">
              <a16:creationId xmlns:a16="http://schemas.microsoft.com/office/drawing/2014/main" id="{76D5C70E-557D-0D76-4C26-23E44DC27B5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20" name="Option Button 59" hidden="1">
          <a:extLst>
            <a:ext uri="{63B3BB69-23CF-44E3-9099-C40C66FF867C}">
              <a14:compatExt xmlns:a14="http://schemas.microsoft.com/office/drawing/2010/main" spid="_x0000_s10309"/>
            </a:ext>
            <a:ext uri="{FF2B5EF4-FFF2-40B4-BE49-F238E27FC236}">
              <a16:creationId xmlns:a16="http://schemas.microsoft.com/office/drawing/2014/main" id="{FA0F2FA0-6909-9F05-F327-2401DA93BF1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21" name="Group Box 50" hidden="1">
          <a:extLst>
            <a:ext uri="{63B3BB69-23CF-44E3-9099-C40C66FF867C}">
              <a14:compatExt xmlns:a14="http://schemas.microsoft.com/office/drawing/2010/main" spid="_x0000_s10304"/>
            </a:ext>
            <a:ext uri="{FF2B5EF4-FFF2-40B4-BE49-F238E27FC236}">
              <a16:creationId xmlns:a16="http://schemas.microsoft.com/office/drawing/2014/main" id="{F8418DC0-ED8F-3EB0-AB0B-065D46610D9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22" name="Group Box 52" hidden="1">
          <a:extLst>
            <a:ext uri="{63B3BB69-23CF-44E3-9099-C40C66FF867C}">
              <a14:compatExt xmlns:a14="http://schemas.microsoft.com/office/drawing/2010/main" spid="_x0000_s10305"/>
            </a:ext>
            <a:ext uri="{FF2B5EF4-FFF2-40B4-BE49-F238E27FC236}">
              <a16:creationId xmlns:a16="http://schemas.microsoft.com/office/drawing/2014/main" id="{4BCEBDCA-11D5-9877-E828-DF95CF015A01}"/>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23" name="Group Box 53" hidden="1">
          <a:extLst>
            <a:ext uri="{63B3BB69-23CF-44E3-9099-C40C66FF867C}">
              <a14:compatExt xmlns:a14="http://schemas.microsoft.com/office/drawing/2010/main" spid="_x0000_s10306"/>
            </a:ext>
            <a:ext uri="{FF2B5EF4-FFF2-40B4-BE49-F238E27FC236}">
              <a16:creationId xmlns:a16="http://schemas.microsoft.com/office/drawing/2014/main" id="{7E90E090-BF4A-7475-B069-92BD07EBD87F}"/>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24" name="Option Button 55" hidden="1">
          <a:extLst>
            <a:ext uri="{63B3BB69-23CF-44E3-9099-C40C66FF867C}">
              <a14:compatExt xmlns:a14="http://schemas.microsoft.com/office/drawing/2010/main" spid="_x0000_s10307"/>
            </a:ext>
            <a:ext uri="{FF2B5EF4-FFF2-40B4-BE49-F238E27FC236}">
              <a16:creationId xmlns:a16="http://schemas.microsoft.com/office/drawing/2014/main" id="{3837D627-E101-F38E-AB9D-863191096E9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25" name="Option Button 57" hidden="1">
          <a:extLst>
            <a:ext uri="{63B3BB69-23CF-44E3-9099-C40C66FF867C}">
              <a14:compatExt xmlns:a14="http://schemas.microsoft.com/office/drawing/2010/main" spid="_x0000_s10308"/>
            </a:ext>
            <a:ext uri="{FF2B5EF4-FFF2-40B4-BE49-F238E27FC236}">
              <a16:creationId xmlns:a16="http://schemas.microsoft.com/office/drawing/2014/main" id="{A2F271DF-758A-A8DE-8F95-2968F736CF8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26" name="Option Button 59" hidden="1">
          <a:extLst>
            <a:ext uri="{63B3BB69-23CF-44E3-9099-C40C66FF867C}">
              <a14:compatExt xmlns:a14="http://schemas.microsoft.com/office/drawing/2010/main" spid="_x0000_s10309"/>
            </a:ext>
            <a:ext uri="{FF2B5EF4-FFF2-40B4-BE49-F238E27FC236}">
              <a16:creationId xmlns:a16="http://schemas.microsoft.com/office/drawing/2014/main" id="{D681F205-C8B2-AC52-B5E0-4EC6154086C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27" name="Group Box 50" hidden="1">
          <a:extLst>
            <a:ext uri="{63B3BB69-23CF-44E3-9099-C40C66FF867C}">
              <a14:compatExt xmlns:a14="http://schemas.microsoft.com/office/drawing/2010/main" spid="_x0000_s10304"/>
            </a:ext>
            <a:ext uri="{FF2B5EF4-FFF2-40B4-BE49-F238E27FC236}">
              <a16:creationId xmlns:a16="http://schemas.microsoft.com/office/drawing/2014/main" id="{93617664-3A8B-771F-31BF-1902003FC16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28" name="Group Box 52" hidden="1">
          <a:extLst>
            <a:ext uri="{63B3BB69-23CF-44E3-9099-C40C66FF867C}">
              <a14:compatExt xmlns:a14="http://schemas.microsoft.com/office/drawing/2010/main" spid="_x0000_s10305"/>
            </a:ext>
            <a:ext uri="{FF2B5EF4-FFF2-40B4-BE49-F238E27FC236}">
              <a16:creationId xmlns:a16="http://schemas.microsoft.com/office/drawing/2014/main" id="{6EEA8E3C-68D4-7582-0F6A-78DCE01C61C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29" name="Group Box 53" hidden="1">
          <a:extLst>
            <a:ext uri="{63B3BB69-23CF-44E3-9099-C40C66FF867C}">
              <a14:compatExt xmlns:a14="http://schemas.microsoft.com/office/drawing/2010/main" spid="_x0000_s10306"/>
            </a:ext>
            <a:ext uri="{FF2B5EF4-FFF2-40B4-BE49-F238E27FC236}">
              <a16:creationId xmlns:a16="http://schemas.microsoft.com/office/drawing/2014/main" id="{E8A58DF9-AA64-B6B9-2DDF-9690904F8C1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30" name="Option Button 55" hidden="1">
          <a:extLst>
            <a:ext uri="{63B3BB69-23CF-44E3-9099-C40C66FF867C}">
              <a14:compatExt xmlns:a14="http://schemas.microsoft.com/office/drawing/2010/main" spid="_x0000_s10307"/>
            </a:ext>
            <a:ext uri="{FF2B5EF4-FFF2-40B4-BE49-F238E27FC236}">
              <a16:creationId xmlns:a16="http://schemas.microsoft.com/office/drawing/2014/main" id="{DD522C36-BE5D-44F6-EE2D-66D16BFA6E33}"/>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31" name="Option Button 57" hidden="1">
          <a:extLst>
            <a:ext uri="{63B3BB69-23CF-44E3-9099-C40C66FF867C}">
              <a14:compatExt xmlns:a14="http://schemas.microsoft.com/office/drawing/2010/main" spid="_x0000_s10308"/>
            </a:ext>
            <a:ext uri="{FF2B5EF4-FFF2-40B4-BE49-F238E27FC236}">
              <a16:creationId xmlns:a16="http://schemas.microsoft.com/office/drawing/2014/main" id="{5FDB8AF4-08FD-3C97-2897-229029571DEE}"/>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32" name="Option Button 59" hidden="1">
          <a:extLst>
            <a:ext uri="{63B3BB69-23CF-44E3-9099-C40C66FF867C}">
              <a14:compatExt xmlns:a14="http://schemas.microsoft.com/office/drawing/2010/main" spid="_x0000_s10309"/>
            </a:ext>
            <a:ext uri="{FF2B5EF4-FFF2-40B4-BE49-F238E27FC236}">
              <a16:creationId xmlns:a16="http://schemas.microsoft.com/office/drawing/2014/main" id="{1EA8A31B-F8E3-57FF-9F34-6EBD677F325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10</xdr:row>
      <xdr:rowOff>53340</xdr:rowOff>
    </xdr:from>
    <xdr:to>
      <xdr:col>14</xdr:col>
      <xdr:colOff>220980</xdr:colOff>
      <xdr:row>10</xdr:row>
      <xdr:rowOff>396240</xdr:rowOff>
    </xdr:to>
    <xdr:sp macro="" textlink="">
      <xdr:nvSpPr>
        <xdr:cNvPr id="10433" name="Group Box 50" hidden="1">
          <a:extLst>
            <a:ext uri="{63B3BB69-23CF-44E3-9099-C40C66FF867C}">
              <a14:compatExt xmlns:a14="http://schemas.microsoft.com/office/drawing/2010/main" spid="_x0000_s10304"/>
            </a:ext>
            <a:ext uri="{FF2B5EF4-FFF2-40B4-BE49-F238E27FC236}">
              <a16:creationId xmlns:a16="http://schemas.microsoft.com/office/drawing/2014/main" id="{C75D6CD9-D733-A05C-C147-B55907D9486F}"/>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11</xdr:row>
      <xdr:rowOff>91440</xdr:rowOff>
    </xdr:from>
    <xdr:to>
      <xdr:col>14</xdr:col>
      <xdr:colOff>205740</xdr:colOff>
      <xdr:row>11</xdr:row>
      <xdr:rowOff>388620</xdr:rowOff>
    </xdr:to>
    <xdr:sp macro="" textlink="">
      <xdr:nvSpPr>
        <xdr:cNvPr id="10434" name="Group Box 52" hidden="1">
          <a:extLst>
            <a:ext uri="{63B3BB69-23CF-44E3-9099-C40C66FF867C}">
              <a14:compatExt xmlns:a14="http://schemas.microsoft.com/office/drawing/2010/main" spid="_x0000_s10305"/>
            </a:ext>
            <a:ext uri="{FF2B5EF4-FFF2-40B4-BE49-F238E27FC236}">
              <a16:creationId xmlns:a16="http://schemas.microsoft.com/office/drawing/2014/main" id="{5A3845FB-35B0-5A2D-0016-58941229806D}"/>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167640</xdr:colOff>
      <xdr:row>12</xdr:row>
      <xdr:rowOff>68580</xdr:rowOff>
    </xdr:from>
    <xdr:to>
      <xdr:col>14</xdr:col>
      <xdr:colOff>213360</xdr:colOff>
      <xdr:row>12</xdr:row>
      <xdr:rowOff>396240</xdr:rowOff>
    </xdr:to>
    <xdr:sp macro="" textlink="">
      <xdr:nvSpPr>
        <xdr:cNvPr id="10435" name="Group Box 53" hidden="1">
          <a:extLst>
            <a:ext uri="{63B3BB69-23CF-44E3-9099-C40C66FF867C}">
              <a14:compatExt xmlns:a14="http://schemas.microsoft.com/office/drawing/2010/main" spid="_x0000_s10306"/>
            </a:ext>
            <a:ext uri="{FF2B5EF4-FFF2-40B4-BE49-F238E27FC236}">
              <a16:creationId xmlns:a16="http://schemas.microsoft.com/office/drawing/2014/main" id="{72443505-A126-1BBF-F3D7-FADCE20343D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457200</xdr:colOff>
      <xdr:row>10</xdr:row>
      <xdr:rowOff>68580</xdr:rowOff>
    </xdr:from>
    <xdr:to>
      <xdr:col>12</xdr:col>
      <xdr:colOff>0</xdr:colOff>
      <xdr:row>10</xdr:row>
      <xdr:rowOff>320040</xdr:rowOff>
    </xdr:to>
    <xdr:sp macro="" textlink="">
      <xdr:nvSpPr>
        <xdr:cNvPr id="10436" name="Option Button 55" hidden="1">
          <a:extLst>
            <a:ext uri="{63B3BB69-23CF-44E3-9099-C40C66FF867C}">
              <a14:compatExt xmlns:a14="http://schemas.microsoft.com/office/drawing/2010/main" spid="_x0000_s10307"/>
            </a:ext>
            <a:ext uri="{FF2B5EF4-FFF2-40B4-BE49-F238E27FC236}">
              <a16:creationId xmlns:a16="http://schemas.microsoft.com/office/drawing/2014/main" id="{86C77C90-E0A8-3195-BF37-2A9892DD976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10</xdr:col>
      <xdr:colOff>502920</xdr:colOff>
      <xdr:row>11</xdr:row>
      <xdr:rowOff>60960</xdr:rowOff>
    </xdr:from>
    <xdr:to>
      <xdr:col>12</xdr:col>
      <xdr:colOff>0</xdr:colOff>
      <xdr:row>11</xdr:row>
      <xdr:rowOff>304800</xdr:rowOff>
    </xdr:to>
    <xdr:sp macro="" textlink="">
      <xdr:nvSpPr>
        <xdr:cNvPr id="10437" name="Option Button 57" hidden="1">
          <a:extLst>
            <a:ext uri="{63B3BB69-23CF-44E3-9099-C40C66FF867C}">
              <a14:compatExt xmlns:a14="http://schemas.microsoft.com/office/drawing/2010/main" spid="_x0000_s10308"/>
            </a:ext>
            <a:ext uri="{FF2B5EF4-FFF2-40B4-BE49-F238E27FC236}">
              <a16:creationId xmlns:a16="http://schemas.microsoft.com/office/drawing/2014/main" id="{B8094B78-2B26-B77F-1D27-29F0A05B3875}"/>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502920</xdr:colOff>
      <xdr:row>12</xdr:row>
      <xdr:rowOff>76200</xdr:rowOff>
    </xdr:from>
    <xdr:to>
      <xdr:col>12</xdr:col>
      <xdr:colOff>0</xdr:colOff>
      <xdr:row>12</xdr:row>
      <xdr:rowOff>289560</xdr:rowOff>
    </xdr:to>
    <xdr:sp macro="" textlink="">
      <xdr:nvSpPr>
        <xdr:cNvPr id="10438" name="Option Button 59" hidden="1">
          <a:extLst>
            <a:ext uri="{63B3BB69-23CF-44E3-9099-C40C66FF867C}">
              <a14:compatExt xmlns:a14="http://schemas.microsoft.com/office/drawing/2010/main" spid="_x0000_s10309"/>
            </a:ext>
            <a:ext uri="{FF2B5EF4-FFF2-40B4-BE49-F238E27FC236}">
              <a16:creationId xmlns:a16="http://schemas.microsoft.com/office/drawing/2014/main" id="{0E28B75F-0D38-C497-74ED-350A977AD00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167640</xdr:colOff>
          <xdr:row>10</xdr:row>
          <xdr:rowOff>53340</xdr:rowOff>
        </xdr:from>
        <xdr:to>
          <xdr:col>14</xdr:col>
          <xdr:colOff>220980</xdr:colOff>
          <xdr:row>10</xdr:row>
          <xdr:rowOff>396240</xdr:rowOff>
        </xdr:to>
        <xdr:sp macro="" textlink="">
          <xdr:nvSpPr>
            <xdr:cNvPr id="10439" name="Group Box 50" hidden="1">
              <a:extLst>
                <a:ext uri="{63B3BB69-23CF-44E3-9099-C40C66FF867C}">
                  <a14:compatExt spid="_x0000_s10304"/>
                </a:ext>
                <a:ext uri="{FF2B5EF4-FFF2-40B4-BE49-F238E27FC236}">
                  <a16:creationId xmlns:a16="http://schemas.microsoft.com/office/drawing/2014/main" id="{1038402F-E190-1833-1592-8922623614D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11</xdr:row>
          <xdr:rowOff>91440</xdr:rowOff>
        </xdr:from>
        <xdr:to>
          <xdr:col>14</xdr:col>
          <xdr:colOff>205740</xdr:colOff>
          <xdr:row>11</xdr:row>
          <xdr:rowOff>388620</xdr:rowOff>
        </xdr:to>
        <xdr:sp macro="" textlink="">
          <xdr:nvSpPr>
            <xdr:cNvPr id="10440" name="Group Box 52" hidden="1">
              <a:extLst>
                <a:ext uri="{63B3BB69-23CF-44E3-9099-C40C66FF867C}">
                  <a14:compatExt spid="_x0000_s10305"/>
                </a:ext>
                <a:ext uri="{FF2B5EF4-FFF2-40B4-BE49-F238E27FC236}">
                  <a16:creationId xmlns:a16="http://schemas.microsoft.com/office/drawing/2014/main" id="{89E09E09-ECC1-D370-80D6-23EDD8B3794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12</xdr:row>
          <xdr:rowOff>68580</xdr:rowOff>
        </xdr:from>
        <xdr:to>
          <xdr:col>14</xdr:col>
          <xdr:colOff>213360</xdr:colOff>
          <xdr:row>12</xdr:row>
          <xdr:rowOff>396240</xdr:rowOff>
        </xdr:to>
        <xdr:sp macro="" textlink="">
          <xdr:nvSpPr>
            <xdr:cNvPr id="10441" name="Group Box 53" hidden="1">
              <a:extLst>
                <a:ext uri="{63B3BB69-23CF-44E3-9099-C40C66FF867C}">
                  <a14:compatExt spid="_x0000_s10306"/>
                </a:ext>
                <a:ext uri="{FF2B5EF4-FFF2-40B4-BE49-F238E27FC236}">
                  <a16:creationId xmlns:a16="http://schemas.microsoft.com/office/drawing/2014/main" id="{88CE6A44-D975-6F12-72F9-53B72181E5B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457200</xdr:colOff>
          <xdr:row>10</xdr:row>
          <xdr:rowOff>68580</xdr:rowOff>
        </xdr:from>
        <xdr:to>
          <xdr:col>12</xdr:col>
          <xdr:colOff>0</xdr:colOff>
          <xdr:row>10</xdr:row>
          <xdr:rowOff>320040</xdr:rowOff>
        </xdr:to>
        <xdr:sp macro="" textlink="">
          <xdr:nvSpPr>
            <xdr:cNvPr id="10442" name="Option Button 55" hidden="1">
              <a:extLst>
                <a:ext uri="{63B3BB69-23CF-44E3-9099-C40C66FF867C}">
                  <a14:compatExt spid="_x0000_s10307"/>
                </a:ext>
                <a:ext uri="{FF2B5EF4-FFF2-40B4-BE49-F238E27FC236}">
                  <a16:creationId xmlns:a16="http://schemas.microsoft.com/office/drawing/2014/main" id="{444B271A-D1E7-688E-6C78-309F6BB860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502920</xdr:colOff>
          <xdr:row>11</xdr:row>
          <xdr:rowOff>60960</xdr:rowOff>
        </xdr:from>
        <xdr:to>
          <xdr:col>12</xdr:col>
          <xdr:colOff>0</xdr:colOff>
          <xdr:row>11</xdr:row>
          <xdr:rowOff>304800</xdr:rowOff>
        </xdr:to>
        <xdr:sp macro="" textlink="">
          <xdr:nvSpPr>
            <xdr:cNvPr id="10443" name="Option Button 57" hidden="1">
              <a:extLst>
                <a:ext uri="{63B3BB69-23CF-44E3-9099-C40C66FF867C}">
                  <a14:compatExt spid="_x0000_s10308"/>
                </a:ext>
                <a:ext uri="{FF2B5EF4-FFF2-40B4-BE49-F238E27FC236}">
                  <a16:creationId xmlns:a16="http://schemas.microsoft.com/office/drawing/2014/main" id="{D9B61BAB-C80F-2313-8436-0A4A8CC210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502920</xdr:colOff>
          <xdr:row>12</xdr:row>
          <xdr:rowOff>76200</xdr:rowOff>
        </xdr:from>
        <xdr:to>
          <xdr:col>12</xdr:col>
          <xdr:colOff>0</xdr:colOff>
          <xdr:row>12</xdr:row>
          <xdr:rowOff>289560</xdr:rowOff>
        </xdr:to>
        <xdr:sp macro="" textlink="">
          <xdr:nvSpPr>
            <xdr:cNvPr id="10444" name="Option Button 59" hidden="1">
              <a:extLst>
                <a:ext uri="{63B3BB69-23CF-44E3-9099-C40C66FF867C}">
                  <a14:compatExt spid="_x0000_s10309"/>
                </a:ext>
                <a:ext uri="{FF2B5EF4-FFF2-40B4-BE49-F238E27FC236}">
                  <a16:creationId xmlns:a16="http://schemas.microsoft.com/office/drawing/2014/main" id="{14A440CA-5119-85E8-75D0-D354D41D7A5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1765</xdr:colOff>
      <xdr:row>0</xdr:row>
      <xdr:rowOff>0</xdr:rowOff>
    </xdr:from>
    <xdr:to>
      <xdr:col>2</xdr:col>
      <xdr:colOff>468312</xdr:colOff>
      <xdr:row>1</xdr:row>
      <xdr:rowOff>47624</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76390" y="0"/>
          <a:ext cx="760235" cy="452437"/>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a:solidFill>
            <a:srgbClr val="00FF99"/>
          </a:solidFill>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BACK</a:t>
          </a:r>
        </a:p>
      </xdr:txBody>
    </xdr:sp>
    <xdr:clientData/>
  </xdr:twoCellAnchor>
  <xdr:twoCellAnchor>
    <xdr:from>
      <xdr:col>10</xdr:col>
      <xdr:colOff>79375</xdr:colOff>
      <xdr:row>0</xdr:row>
      <xdr:rowOff>55562</xdr:rowOff>
    </xdr:from>
    <xdr:to>
      <xdr:col>13</xdr:col>
      <xdr:colOff>230187</xdr:colOff>
      <xdr:row>1</xdr:row>
      <xdr:rowOff>55562</xdr:rowOff>
    </xdr:to>
    <xdr:sp macro="[0]!salary2" textlink="">
      <xdr:nvSpPr>
        <xdr:cNvPr id="6" name="Rounded Rectangle 5">
          <a:extLst>
            <a:ext uri="{FF2B5EF4-FFF2-40B4-BE49-F238E27FC236}">
              <a16:creationId xmlns:a16="http://schemas.microsoft.com/office/drawing/2014/main" id="{00000000-0008-0000-0500-000006000000}"/>
            </a:ext>
          </a:extLst>
        </xdr:cNvPr>
        <xdr:cNvSpPr/>
      </xdr:nvSpPr>
      <xdr:spPr>
        <a:xfrm>
          <a:off x="6135688" y="55562"/>
          <a:ext cx="2198687" cy="42862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GB" sz="1600" i="1" u="sng">
              <a:solidFill>
                <a:schemeClr val="bg1"/>
              </a:solidFill>
              <a:latin typeface="+mj-lt"/>
            </a:rPr>
            <a:t>REFRESH</a:t>
          </a:r>
          <a:r>
            <a:rPr lang="en-GB" sz="1600">
              <a:solidFill>
                <a:schemeClr val="bg1"/>
              </a:solidFill>
              <a:latin typeface="+mj-lt"/>
            </a:rPr>
            <a:t> </a:t>
          </a:r>
          <a:r>
            <a:rPr lang="en-GB" sz="1600" i="1" u="sng">
              <a:solidFill>
                <a:schemeClr val="bg1"/>
              </a:solidFill>
              <a:latin typeface="+mj-lt"/>
            </a:rPr>
            <a:t>SALARY</a:t>
          </a:r>
        </a:p>
      </xdr:txBody>
    </xdr:sp>
    <xdr:clientData/>
  </xdr:twoCellAnchor>
  <xdr:twoCellAnchor>
    <xdr:from>
      <xdr:col>32</xdr:col>
      <xdr:colOff>426358</xdr:colOff>
      <xdr:row>2</xdr:row>
      <xdr:rowOff>317500</xdr:rowOff>
    </xdr:from>
    <xdr:to>
      <xdr:col>35</xdr:col>
      <xdr:colOff>272143</xdr:colOff>
      <xdr:row>8</xdr:row>
      <xdr:rowOff>107721</xdr:rowOff>
    </xdr:to>
    <xdr:sp macro="" textlink="">
      <xdr:nvSpPr>
        <xdr:cNvPr id="8" name="Vertical Scroll 7">
          <a:extLst>
            <a:ext uri="{FF2B5EF4-FFF2-40B4-BE49-F238E27FC236}">
              <a16:creationId xmlns:a16="http://schemas.microsoft.com/office/drawing/2014/main" id="{00000000-0008-0000-0500-000008000000}"/>
            </a:ext>
          </a:extLst>
        </xdr:cNvPr>
        <xdr:cNvSpPr/>
      </xdr:nvSpPr>
      <xdr:spPr>
        <a:xfrm>
          <a:off x="20728215" y="907143"/>
          <a:ext cx="1669142" cy="2647721"/>
        </a:xfrm>
        <a:prstGeom prst="verticalScroll">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en-GB" sz="1100"/>
            <a:t>GPF </a:t>
          </a:r>
          <a:r>
            <a:rPr lang="hi-IN" sz="1100"/>
            <a:t>में यदि आपने स्लैब के अतिरिक्त अधिक राशि किसी माह में जमा करवाई है तो MANUALLY</a:t>
          </a:r>
          <a:r>
            <a:rPr lang="hi-IN" sz="1100" baseline="0"/>
            <a:t> बदल सकते है</a:t>
          </a:r>
          <a:endParaRPr lang="en-GB" sz="1100"/>
        </a:p>
      </xdr:txBody>
    </xdr:sp>
    <xdr:clientData/>
  </xdr:twoCellAnchor>
  <xdr:twoCellAnchor>
    <xdr:from>
      <xdr:col>33</xdr:col>
      <xdr:colOff>0</xdr:colOff>
      <xdr:row>0</xdr:row>
      <xdr:rowOff>0</xdr:rowOff>
    </xdr:from>
    <xdr:to>
      <xdr:col>34</xdr:col>
      <xdr:colOff>169333</xdr:colOff>
      <xdr:row>2</xdr:row>
      <xdr:rowOff>102306</xdr:rowOff>
    </xdr:to>
    <xdr:sp macro="" textlink="">
      <xdr:nvSpPr>
        <xdr:cNvPr id="9" name="Right Arrow 8">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20882429" y="0"/>
          <a:ext cx="777118" cy="691949"/>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72000" sy="72000" algn="ctr" rotWithShape="0">
            <a:schemeClr val="bg1">
              <a:alpha val="58000"/>
            </a:scheme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85725</xdr:colOff>
      <xdr:row>0</xdr:row>
      <xdr:rowOff>66675</xdr:rowOff>
    </xdr:from>
    <xdr:to>
      <xdr:col>23</xdr:col>
      <xdr:colOff>517525</xdr:colOff>
      <xdr:row>3</xdr:row>
      <xdr:rowOff>142875</xdr:rowOff>
    </xdr:to>
    <xdr:sp macro="" textlink="">
      <xdr:nvSpPr>
        <xdr:cNvPr id="4" name="Horizontal Scroll 3">
          <a:extLst>
            <a:ext uri="{FF2B5EF4-FFF2-40B4-BE49-F238E27FC236}">
              <a16:creationId xmlns:a16="http://schemas.microsoft.com/office/drawing/2014/main" id="{00000000-0008-0000-0600-000004000000}"/>
            </a:ext>
          </a:extLst>
        </xdr:cNvPr>
        <xdr:cNvSpPr/>
      </xdr:nvSpPr>
      <xdr:spPr>
        <a:xfrm>
          <a:off x="11029950" y="66675"/>
          <a:ext cx="2317750" cy="657225"/>
        </a:xfrm>
        <a:prstGeom prst="horizontalScroll">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ysClr val="windowText" lastClr="000000"/>
              </a:solidFill>
              <a:latin typeface="+mj-lt"/>
            </a:rPr>
            <a:t>OLD</a:t>
          </a:r>
          <a:r>
            <a:rPr lang="en-GB" sz="1200" baseline="0">
              <a:solidFill>
                <a:sysClr val="windowText" lastClr="000000"/>
              </a:solidFill>
              <a:latin typeface="+mj-lt"/>
            </a:rPr>
            <a:t> REGIME OR NEW REGIME  SELECT FROM BUTTON</a:t>
          </a:r>
          <a:endParaRPr lang="en-GB" sz="1200">
            <a:solidFill>
              <a:sysClr val="windowText" lastClr="000000"/>
            </a:solidFill>
            <a:latin typeface="+mj-lt"/>
          </a:endParaRPr>
        </a:p>
      </xdr:txBody>
    </xdr:sp>
    <xdr:clientData/>
  </xdr:twoCellAnchor>
  <xdr:twoCellAnchor>
    <xdr:from>
      <xdr:col>19</xdr:col>
      <xdr:colOff>133350</xdr:colOff>
      <xdr:row>21</xdr:row>
      <xdr:rowOff>44450</xdr:rowOff>
    </xdr:from>
    <xdr:to>
      <xdr:col>19</xdr:col>
      <xdr:colOff>717550</xdr:colOff>
      <xdr:row>21</xdr:row>
      <xdr:rowOff>171450</xdr:rowOff>
    </xdr:to>
    <xdr:cxnSp macro="">
      <xdr:nvCxnSpPr>
        <xdr:cNvPr id="7" name="Curved Connector 6">
          <a:extLst>
            <a:ext uri="{FF2B5EF4-FFF2-40B4-BE49-F238E27FC236}">
              <a16:creationId xmlns:a16="http://schemas.microsoft.com/office/drawing/2014/main" id="{00000000-0008-0000-0600-000007000000}"/>
            </a:ext>
          </a:extLst>
        </xdr:cNvPr>
        <xdr:cNvCxnSpPr/>
      </xdr:nvCxnSpPr>
      <xdr:spPr>
        <a:xfrm>
          <a:off x="9309100" y="4019550"/>
          <a:ext cx="584200" cy="127000"/>
        </a:xfrm>
        <a:prstGeom prst="curvedConnector3">
          <a:avLst/>
        </a:prstGeom>
        <a:ln w="57150">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717550</xdr:colOff>
      <xdr:row>17</xdr:row>
      <xdr:rowOff>76200</xdr:rowOff>
    </xdr:from>
    <xdr:to>
      <xdr:col>20</xdr:col>
      <xdr:colOff>927100</xdr:colOff>
      <xdr:row>21</xdr:row>
      <xdr:rowOff>107950</xdr:rowOff>
    </xdr:to>
    <xdr:sp macro="" textlink="">
      <xdr:nvSpPr>
        <xdr:cNvPr id="10" name="Right Arrow 9">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a:off x="9893300" y="3257550"/>
          <a:ext cx="1079500" cy="82550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19</xdr:col>
      <xdr:colOff>615950</xdr:colOff>
      <xdr:row>22</xdr:row>
      <xdr:rowOff>0</xdr:rowOff>
    </xdr:from>
    <xdr:to>
      <xdr:col>20</xdr:col>
      <xdr:colOff>882650</xdr:colOff>
      <xdr:row>24</xdr:row>
      <xdr:rowOff>133350</xdr:rowOff>
    </xdr:to>
    <xdr:sp macro="" textlink="">
      <xdr:nvSpPr>
        <xdr:cNvPr id="12" name="Left Arrow 11">
          <a:hlinkClick xmlns:r="http://schemas.openxmlformats.org/officeDocument/2006/relationships" r:id="rId2"/>
          <a:extLst>
            <a:ext uri="{FF2B5EF4-FFF2-40B4-BE49-F238E27FC236}">
              <a16:creationId xmlns:a16="http://schemas.microsoft.com/office/drawing/2014/main" id="{00000000-0008-0000-0600-00000C000000}"/>
            </a:ext>
          </a:extLst>
        </xdr:cNvPr>
        <xdr:cNvSpPr/>
      </xdr:nvSpPr>
      <xdr:spPr>
        <a:xfrm>
          <a:off x="9944100" y="4171950"/>
          <a:ext cx="1231900" cy="704850"/>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a:solidFill>
            <a:srgbClr val="00FF99"/>
          </a:solidFill>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BACK</a:t>
          </a:r>
        </a:p>
      </xdr:txBody>
    </xdr:sp>
    <xdr:clientData/>
  </xdr:twoCellAnchor>
  <xdr:twoCellAnchor>
    <xdr:from>
      <xdr:col>19</xdr:col>
      <xdr:colOff>601980</xdr:colOff>
      <xdr:row>7</xdr:row>
      <xdr:rowOff>68580</xdr:rowOff>
    </xdr:from>
    <xdr:to>
      <xdr:col>19</xdr:col>
      <xdr:colOff>830580</xdr:colOff>
      <xdr:row>7</xdr:row>
      <xdr:rowOff>152400</xdr:rowOff>
    </xdr:to>
    <xdr:sp macro="" textlink="">
      <xdr:nvSpPr>
        <xdr:cNvPr id="2" name="Right Arrow 1">
          <a:extLst>
            <a:ext uri="{FF2B5EF4-FFF2-40B4-BE49-F238E27FC236}">
              <a16:creationId xmlns:a16="http://schemas.microsoft.com/office/drawing/2014/main" id="{00000000-0008-0000-0600-000002000000}"/>
            </a:ext>
          </a:extLst>
        </xdr:cNvPr>
        <xdr:cNvSpPr/>
      </xdr:nvSpPr>
      <xdr:spPr>
        <a:xfrm>
          <a:off x="9845040" y="1455420"/>
          <a:ext cx="228600" cy="83820"/>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n-IN" sz="1100"/>
        </a:p>
      </xdr:txBody>
    </xdr:sp>
    <xdr:clientData/>
  </xdr:twoCellAnchor>
  <mc:AlternateContent xmlns:mc="http://schemas.openxmlformats.org/markup-compatibility/2006">
    <mc:Choice xmlns:a14="http://schemas.microsoft.com/office/drawing/2010/main" Requires="a14">
      <xdr:twoCellAnchor editAs="oneCell">
        <xdr:from>
          <xdr:col>19</xdr:col>
          <xdr:colOff>121920</xdr:colOff>
          <xdr:row>1</xdr:row>
          <xdr:rowOff>83820</xdr:rowOff>
        </xdr:from>
        <xdr:to>
          <xdr:col>21</xdr:col>
          <xdr:colOff>0</xdr:colOff>
          <xdr:row>2</xdr:row>
          <xdr:rowOff>175260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    SELECT REGIME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1</xdr:row>
          <xdr:rowOff>220980</xdr:rowOff>
        </xdr:from>
        <xdr:to>
          <xdr:col>20</xdr:col>
          <xdr:colOff>220980</xdr:colOff>
          <xdr:row>2</xdr:row>
          <xdr:rowOff>137160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IN" sz="800" b="0" i="0" u="none" strike="noStrike" baseline="0">
                  <a:solidFill>
                    <a:srgbClr val="000000"/>
                  </a:solidFill>
                  <a:latin typeface="Segoe UI"/>
                  <a:cs typeface="Segoe UI"/>
                </a:rPr>
                <a:t>OLD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xdr:row>
          <xdr:rowOff>220980</xdr:rowOff>
        </xdr:from>
        <xdr:to>
          <xdr:col>21</xdr:col>
          <xdr:colOff>0</xdr:colOff>
          <xdr:row>2</xdr:row>
          <xdr:rowOff>160020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IN" sz="800" b="0" i="0" u="none" strike="noStrike" baseline="0">
                  <a:solidFill>
                    <a:srgbClr val="000000"/>
                  </a:solidFill>
                  <a:latin typeface="Segoe UI"/>
                  <a:cs typeface="Segoe UI"/>
                </a:rPr>
                <a:t>NEW REGIME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544511</xdr:colOff>
      <xdr:row>4</xdr:row>
      <xdr:rowOff>570171</xdr:rowOff>
    </xdr:from>
    <xdr:to>
      <xdr:col>8</xdr:col>
      <xdr:colOff>197091</xdr:colOff>
      <xdr:row>5</xdr:row>
      <xdr:rowOff>149182</xdr:rowOff>
    </xdr:to>
    <xdr:sp macro="" textlink="">
      <xdr:nvSpPr>
        <xdr:cNvPr id="5" name="Right Arrow 4">
          <a:extLst>
            <a:ext uri="{FF2B5EF4-FFF2-40B4-BE49-F238E27FC236}">
              <a16:creationId xmlns:a16="http://schemas.microsoft.com/office/drawing/2014/main" id="{00000000-0008-0000-0400-000005000000}"/>
            </a:ext>
          </a:extLst>
        </xdr:cNvPr>
        <xdr:cNvSpPr/>
      </xdr:nvSpPr>
      <xdr:spPr>
        <a:xfrm rot="19728231">
          <a:off x="3865561" y="1452821"/>
          <a:ext cx="592380" cy="233061"/>
        </a:xfrm>
        <a:prstGeom prst="rightArrow">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700" b="0" i="0" u="none" strike="noStrike" kern="0" cap="none" spc="0" normalizeH="0" baseline="0" noProof="0">
              <a:ln>
                <a:noFill/>
              </a:ln>
              <a:solidFill>
                <a:sysClr val="window" lastClr="FFFFFF"/>
              </a:solidFill>
              <a:effectLst/>
              <a:uLnTx/>
              <a:uFillTx/>
              <a:latin typeface="Calibri" panose="020F0502020204030204"/>
              <a:ea typeface="+mn-ea"/>
              <a:cs typeface="+mn-cs"/>
            </a:rPr>
            <a:t>CHOOSE</a:t>
          </a:r>
        </a:p>
      </xdr:txBody>
    </xdr:sp>
    <xdr:clientData/>
  </xdr:twoCellAnchor>
  <xdr:twoCellAnchor>
    <xdr:from>
      <xdr:col>1</xdr:col>
      <xdr:colOff>361950</xdr:colOff>
      <xdr:row>21</xdr:row>
      <xdr:rowOff>76200</xdr:rowOff>
    </xdr:from>
    <xdr:to>
      <xdr:col>1</xdr:col>
      <xdr:colOff>552450</xdr:colOff>
      <xdr:row>22</xdr:row>
      <xdr:rowOff>88900</xdr:rowOff>
    </xdr:to>
    <xdr:sp macro="" textlink="">
      <xdr:nvSpPr>
        <xdr:cNvPr id="4" name="Up Arrow 3">
          <a:extLst>
            <a:ext uri="{FF2B5EF4-FFF2-40B4-BE49-F238E27FC236}">
              <a16:creationId xmlns:a16="http://schemas.microsoft.com/office/drawing/2014/main" id="{00000000-0008-0000-0400-000004000000}"/>
            </a:ext>
          </a:extLst>
        </xdr:cNvPr>
        <xdr:cNvSpPr/>
      </xdr:nvSpPr>
      <xdr:spPr>
        <a:xfrm>
          <a:off x="971550" y="3543300"/>
          <a:ext cx="190500" cy="2032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xdr:col>
      <xdr:colOff>368300</xdr:colOff>
      <xdr:row>1</xdr:row>
      <xdr:rowOff>101600</xdr:rowOff>
    </xdr:from>
    <xdr:to>
      <xdr:col>2</xdr:col>
      <xdr:colOff>57150</xdr:colOff>
      <xdr:row>3</xdr:row>
      <xdr:rowOff>146050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596900" y="292100"/>
          <a:ext cx="901700" cy="546100"/>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a:solidFill>
            <a:srgbClr val="00FF99"/>
          </a:solidFill>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BACK</a:t>
          </a:r>
        </a:p>
      </xdr:txBody>
    </xdr:sp>
    <xdr:clientData/>
  </xdr:twoCellAnchor>
  <xdr:twoCellAnchor>
    <xdr:from>
      <xdr:col>12</xdr:col>
      <xdr:colOff>552450</xdr:colOff>
      <xdr:row>1</xdr:row>
      <xdr:rowOff>69850</xdr:rowOff>
    </xdr:from>
    <xdr:to>
      <xdr:col>12</xdr:col>
      <xdr:colOff>1371600</xdr:colOff>
      <xdr:row>3</xdr:row>
      <xdr:rowOff>101600</xdr:rowOff>
    </xdr:to>
    <xdr:sp macro="" textlink="">
      <xdr:nvSpPr>
        <xdr:cNvPr id="6" name="Right Arrow 5">
          <a:hlinkClick xmlns:r="http://schemas.openxmlformats.org/officeDocument/2006/relationships" r:id="rId2"/>
          <a:extLst>
            <a:ext uri="{FF2B5EF4-FFF2-40B4-BE49-F238E27FC236}">
              <a16:creationId xmlns:a16="http://schemas.microsoft.com/office/drawing/2014/main" id="{00000000-0008-0000-0400-000006000000}"/>
            </a:ext>
          </a:extLst>
        </xdr:cNvPr>
        <xdr:cNvSpPr/>
      </xdr:nvSpPr>
      <xdr:spPr>
        <a:xfrm>
          <a:off x="9810750" y="260350"/>
          <a:ext cx="819150" cy="53340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11</xdr:col>
      <xdr:colOff>400050</xdr:colOff>
      <xdr:row>3</xdr:row>
      <xdr:rowOff>50800</xdr:rowOff>
    </xdr:from>
    <xdr:to>
      <xdr:col>11</xdr:col>
      <xdr:colOff>895350</xdr:colOff>
      <xdr:row>3</xdr:row>
      <xdr:rowOff>184150</xdr:rowOff>
    </xdr:to>
    <xdr:sp macro="" textlink="">
      <xdr:nvSpPr>
        <xdr:cNvPr id="2" name="Left Arrow 1">
          <a:extLst>
            <a:ext uri="{FF2B5EF4-FFF2-40B4-BE49-F238E27FC236}">
              <a16:creationId xmlns:a16="http://schemas.microsoft.com/office/drawing/2014/main" id="{00000000-0008-0000-0400-000002000000}"/>
            </a:ext>
          </a:extLst>
        </xdr:cNvPr>
        <xdr:cNvSpPr/>
      </xdr:nvSpPr>
      <xdr:spPr>
        <a:xfrm>
          <a:off x="7931150" y="749300"/>
          <a:ext cx="495300" cy="133350"/>
        </a:xfrm>
        <a:prstGeom prst="leftArrow">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387350</xdr:colOff>
      <xdr:row>16</xdr:row>
      <xdr:rowOff>158750</xdr:rowOff>
    </xdr:from>
    <xdr:to>
      <xdr:col>16</xdr:col>
      <xdr:colOff>336550</xdr:colOff>
      <xdr:row>20</xdr:row>
      <xdr:rowOff>50800</xdr:rowOff>
    </xdr:to>
    <xdr:sp macro="" textlink="">
      <xdr:nvSpPr>
        <xdr:cNvPr id="2" name="Oval Callout 1">
          <a:extLst>
            <a:ext uri="{FF2B5EF4-FFF2-40B4-BE49-F238E27FC236}">
              <a16:creationId xmlns:a16="http://schemas.microsoft.com/office/drawing/2014/main" id="{00000000-0008-0000-0900-000002000000}"/>
            </a:ext>
          </a:extLst>
        </xdr:cNvPr>
        <xdr:cNvSpPr/>
      </xdr:nvSpPr>
      <xdr:spPr>
        <a:xfrm>
          <a:off x="6902450" y="3257550"/>
          <a:ext cx="1778000" cy="635000"/>
        </a:xfrm>
        <a:prstGeom prst="wedgeEllipseCallout">
          <a:avLst>
            <a:gd name="adj1" fmla="val -75476"/>
            <a:gd name="adj2" fmla="val -8088"/>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ctr"/>
          <a:r>
            <a:rPr lang="en-GB" sz="1100"/>
            <a:t>Fill</a:t>
          </a:r>
          <a:r>
            <a:rPr lang="en-GB" sz="1100" baseline="0"/>
            <a:t> Data mannually</a:t>
          </a:r>
          <a:endParaRPr lang="en-GB" sz="1100"/>
        </a:p>
      </xdr:txBody>
    </xdr:sp>
    <xdr:clientData/>
  </xdr:twoCellAnchor>
  <xdr:twoCellAnchor>
    <xdr:from>
      <xdr:col>13</xdr:col>
      <xdr:colOff>444500</xdr:colOff>
      <xdr:row>28</xdr:row>
      <xdr:rowOff>152400</xdr:rowOff>
    </xdr:from>
    <xdr:to>
      <xdr:col>16</xdr:col>
      <xdr:colOff>393700</xdr:colOff>
      <xdr:row>32</xdr:row>
      <xdr:rowOff>50800</xdr:rowOff>
    </xdr:to>
    <xdr:sp macro="" textlink="">
      <xdr:nvSpPr>
        <xdr:cNvPr id="7" name="Oval Callout 6">
          <a:extLst>
            <a:ext uri="{FF2B5EF4-FFF2-40B4-BE49-F238E27FC236}">
              <a16:creationId xmlns:a16="http://schemas.microsoft.com/office/drawing/2014/main" id="{00000000-0008-0000-0900-000007000000}"/>
            </a:ext>
          </a:extLst>
        </xdr:cNvPr>
        <xdr:cNvSpPr/>
      </xdr:nvSpPr>
      <xdr:spPr>
        <a:xfrm>
          <a:off x="6959600" y="5645150"/>
          <a:ext cx="1778000" cy="635000"/>
        </a:xfrm>
        <a:prstGeom prst="wedgeEllipseCallout">
          <a:avLst>
            <a:gd name="adj1" fmla="val -75476"/>
            <a:gd name="adj2" fmla="val -8088"/>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ctr"/>
          <a:r>
            <a:rPr lang="en-GB" sz="1100"/>
            <a:t>Fill</a:t>
          </a:r>
          <a:r>
            <a:rPr lang="en-GB" sz="1100" baseline="0"/>
            <a:t> Data mannually</a:t>
          </a:r>
          <a:endParaRPr lang="en-GB" sz="1100"/>
        </a:p>
      </xdr:txBody>
    </xdr:sp>
    <xdr:clientData/>
  </xdr:twoCellAnchor>
  <xdr:twoCellAnchor>
    <xdr:from>
      <xdr:col>13</xdr:col>
      <xdr:colOff>355600</xdr:colOff>
      <xdr:row>47</xdr:row>
      <xdr:rowOff>76200</xdr:rowOff>
    </xdr:from>
    <xdr:to>
      <xdr:col>16</xdr:col>
      <xdr:colOff>304800</xdr:colOff>
      <xdr:row>50</xdr:row>
      <xdr:rowOff>158750</xdr:rowOff>
    </xdr:to>
    <xdr:sp macro="" textlink="">
      <xdr:nvSpPr>
        <xdr:cNvPr id="8" name="Oval Callout 7">
          <a:extLst>
            <a:ext uri="{FF2B5EF4-FFF2-40B4-BE49-F238E27FC236}">
              <a16:creationId xmlns:a16="http://schemas.microsoft.com/office/drawing/2014/main" id="{00000000-0008-0000-0900-000008000000}"/>
            </a:ext>
          </a:extLst>
        </xdr:cNvPr>
        <xdr:cNvSpPr/>
      </xdr:nvSpPr>
      <xdr:spPr>
        <a:xfrm>
          <a:off x="6870700" y="9296400"/>
          <a:ext cx="1778000" cy="635000"/>
        </a:xfrm>
        <a:prstGeom prst="wedgeEllipseCallout">
          <a:avLst>
            <a:gd name="adj1" fmla="val -75476"/>
            <a:gd name="adj2" fmla="val -8088"/>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ctr"/>
          <a:r>
            <a:rPr lang="en-GB" sz="1100"/>
            <a:t>Fill</a:t>
          </a:r>
          <a:r>
            <a:rPr lang="en-GB" sz="1100" baseline="0"/>
            <a:t> Data mannually</a:t>
          </a:r>
          <a:endParaRPr lang="en-GB" sz="1100"/>
        </a:p>
      </xdr:txBody>
    </xdr:sp>
    <xdr:clientData/>
  </xdr:twoCellAnchor>
  <mc:AlternateContent xmlns:mc="http://schemas.openxmlformats.org/markup-compatibility/2006">
    <mc:Choice xmlns:a14="http://schemas.microsoft.com/office/drawing/2010/main" Requires="a14">
      <xdr:twoCellAnchor editAs="oneCell">
        <xdr:from>
          <xdr:col>14</xdr:col>
          <xdr:colOff>121920</xdr:colOff>
          <xdr:row>15</xdr:row>
          <xdr:rowOff>99060</xdr:rowOff>
        </xdr:from>
        <xdr:to>
          <xdr:col>15</xdr:col>
          <xdr:colOff>525780</xdr:colOff>
          <xdr:row>15</xdr:row>
          <xdr:rowOff>396240</xdr:rowOff>
        </xdr:to>
        <xdr:sp macro="" textlink="">
          <xdr:nvSpPr>
            <xdr:cNvPr id="23553" name="CommandButton1" descr="Hide Bin Details"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83820</xdr:rowOff>
        </xdr:from>
        <xdr:to>
          <xdr:col>17</xdr:col>
          <xdr:colOff>457200</xdr:colOff>
          <xdr:row>15</xdr:row>
          <xdr:rowOff>381000</xdr:rowOff>
        </xdr:to>
        <xdr:sp macro="" textlink="">
          <xdr:nvSpPr>
            <xdr:cNvPr id="23554" name="CommandButton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15</xdr:row>
          <xdr:rowOff>76200</xdr:rowOff>
        </xdr:from>
        <xdr:to>
          <xdr:col>19</xdr:col>
          <xdr:colOff>548640</xdr:colOff>
          <xdr:row>15</xdr:row>
          <xdr:rowOff>350520</xdr:rowOff>
        </xdr:to>
        <xdr:sp macro="" textlink="">
          <xdr:nvSpPr>
            <xdr:cNvPr id="23556" name="CommandButton3"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15</xdr:row>
          <xdr:rowOff>60960</xdr:rowOff>
        </xdr:from>
        <xdr:to>
          <xdr:col>21</xdr:col>
          <xdr:colOff>510540</xdr:colOff>
          <xdr:row>15</xdr:row>
          <xdr:rowOff>335280</xdr:rowOff>
        </xdr:to>
        <xdr:sp macro="" textlink="">
          <xdr:nvSpPr>
            <xdr:cNvPr id="23557" name="CommandButton4"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15</xdr:col>
      <xdr:colOff>129540</xdr:colOff>
      <xdr:row>17</xdr:row>
      <xdr:rowOff>129540</xdr:rowOff>
    </xdr:from>
    <xdr:to>
      <xdr:col>15</xdr:col>
      <xdr:colOff>838200</xdr:colOff>
      <xdr:row>18</xdr:row>
      <xdr:rowOff>114300</xdr:rowOff>
    </xdr:to>
    <xdr:sp macro="" textlink="">
      <xdr:nvSpPr>
        <xdr:cNvPr id="1844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49"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2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3"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3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4"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5"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6"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6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7"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8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9"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9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0"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A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1"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B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2"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C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3"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D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4"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E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5"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F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6"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0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7"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1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2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9"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3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0"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21"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2"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6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23"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4"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8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25"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9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6"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A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27"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B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2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C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29"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D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129540</xdr:colOff>
          <xdr:row>17</xdr:row>
          <xdr:rowOff>129540</xdr:rowOff>
        </xdr:from>
        <xdr:to>
          <xdr:col>15</xdr:col>
          <xdr:colOff>838200</xdr:colOff>
          <xdr:row>18</xdr:row>
          <xdr:rowOff>114300</xdr:rowOff>
        </xdr:to>
        <xdr:sp macro="" textlink="">
          <xdr:nvSpPr>
            <xdr:cNvPr id="18443" name="Option Button 11" descr="OLd Regime" hidden="1">
              <a:extLst>
                <a:ext uri="{63B3BB69-23CF-44E3-9099-C40C66FF867C}">
                  <a14:compatExt spid="_x0000_s18443"/>
                </a:ext>
                <a:ext uri="{FF2B5EF4-FFF2-40B4-BE49-F238E27FC236}">
                  <a16:creationId xmlns:a16="http://schemas.microsoft.com/office/drawing/2014/main" id="{00000000-0008-0000-0A00-00000B48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Old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18</xdr:row>
          <xdr:rowOff>167640</xdr:rowOff>
        </xdr:from>
        <xdr:to>
          <xdr:col>15</xdr:col>
          <xdr:colOff>815340</xdr:colOff>
          <xdr:row>19</xdr:row>
          <xdr:rowOff>152400</xdr:rowOff>
        </xdr:to>
        <xdr:sp macro="" textlink="">
          <xdr:nvSpPr>
            <xdr:cNvPr id="18444" name="Option Button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New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20</xdr:row>
          <xdr:rowOff>60960</xdr:rowOff>
        </xdr:from>
        <xdr:to>
          <xdr:col>15</xdr:col>
          <xdr:colOff>1386840</xdr:colOff>
          <xdr:row>22</xdr:row>
          <xdr:rowOff>228600</xdr:rowOff>
        </xdr:to>
        <xdr:sp macro="" textlink="">
          <xdr:nvSpPr>
            <xdr:cNvPr id="18445" name="Group Box 13" hidden="1">
              <a:extLst>
                <a:ext uri="{63B3BB69-23CF-44E3-9099-C40C66FF867C}">
                  <a14:compatExt spid="_x0000_s18445"/>
                </a:ext>
                <a:ext uri="{FF2B5EF4-FFF2-40B4-BE49-F238E27FC236}">
                  <a16:creationId xmlns:a16="http://schemas.microsoft.com/office/drawing/2014/main" id="{00000000-0008-0000-0A00-00000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274320</xdr:colOff>
          <xdr:row>20</xdr:row>
          <xdr:rowOff>205740</xdr:rowOff>
        </xdr:from>
        <xdr:to>
          <xdr:col>15</xdr:col>
          <xdr:colOff>1295400</xdr:colOff>
          <xdr:row>21</xdr:row>
          <xdr:rowOff>160020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A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Old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21</xdr:row>
          <xdr:rowOff>160020</xdr:rowOff>
        </xdr:from>
        <xdr:to>
          <xdr:col>15</xdr:col>
          <xdr:colOff>1356360</xdr:colOff>
          <xdr:row>22</xdr:row>
          <xdr:rowOff>114300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A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New Regime</a:t>
              </a:r>
            </a:p>
          </xdr:txBody>
        </xdr:sp>
        <xdr:clientData/>
      </xdr:twoCellAnchor>
    </mc:Choice>
    <mc:Fallback/>
  </mc:AlternateContent>
  <xdr:twoCellAnchor editAs="oneCell">
    <xdr:from>
      <xdr:col>15</xdr:col>
      <xdr:colOff>129540</xdr:colOff>
      <xdr:row>17</xdr:row>
      <xdr:rowOff>129540</xdr:rowOff>
    </xdr:from>
    <xdr:to>
      <xdr:col>15</xdr:col>
      <xdr:colOff>838200</xdr:colOff>
      <xdr:row>18</xdr:row>
      <xdr:rowOff>114300</xdr:rowOff>
    </xdr:to>
    <xdr:sp macro="" textlink="">
      <xdr:nvSpPr>
        <xdr:cNvPr id="30"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1E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31"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1F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76200</xdr:colOff>
          <xdr:row>23</xdr:row>
          <xdr:rowOff>76200</xdr:rowOff>
        </xdr:from>
        <xdr:to>
          <xdr:col>15</xdr:col>
          <xdr:colOff>1104900</xdr:colOff>
          <xdr:row>25</xdr:row>
          <xdr:rowOff>198120</xdr:rowOff>
        </xdr:to>
        <xdr:sp macro="" textlink="">
          <xdr:nvSpPr>
            <xdr:cNvPr id="18450" name="Group Box 18" hidden="1">
              <a:extLst>
                <a:ext uri="{63B3BB69-23CF-44E3-9099-C40C66FF867C}">
                  <a14:compatExt spid="_x0000_s18450"/>
                </a:ext>
                <a:ext uri="{FF2B5EF4-FFF2-40B4-BE49-F238E27FC236}">
                  <a16:creationId xmlns:a16="http://schemas.microsoft.com/office/drawing/2014/main" id="{00000000-0008-0000-0A00-00001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23</xdr:row>
          <xdr:rowOff>213360</xdr:rowOff>
        </xdr:from>
        <xdr:to>
          <xdr:col>15</xdr:col>
          <xdr:colOff>1043940</xdr:colOff>
          <xdr:row>24</xdr:row>
          <xdr:rowOff>190500</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A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Old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24</xdr:row>
          <xdr:rowOff>182880</xdr:rowOff>
        </xdr:from>
        <xdr:to>
          <xdr:col>15</xdr:col>
          <xdr:colOff>982980</xdr:colOff>
          <xdr:row>25</xdr:row>
          <xdr:rowOff>160020</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A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New Regime</a:t>
              </a:r>
            </a:p>
          </xdr:txBody>
        </xdr:sp>
        <xdr:clientData/>
      </xdr:twoCellAnchor>
    </mc:Choice>
    <mc:Fallback/>
  </mc:AlternateContent>
  <xdr:twoCellAnchor editAs="oneCell">
    <xdr:from>
      <xdr:col>15</xdr:col>
      <xdr:colOff>129540</xdr:colOff>
      <xdr:row>17</xdr:row>
      <xdr:rowOff>129540</xdr:rowOff>
    </xdr:from>
    <xdr:to>
      <xdr:col>15</xdr:col>
      <xdr:colOff>838200</xdr:colOff>
      <xdr:row>18</xdr:row>
      <xdr:rowOff>114300</xdr:rowOff>
    </xdr:to>
    <xdr:sp macro="" textlink="">
      <xdr:nvSpPr>
        <xdr:cNvPr id="18432"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0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33"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34"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35" name="Option Button 14" hidden="1">
          <a:extLst>
            <a:ext uri="{63B3BB69-23CF-44E3-9099-C40C66FF867C}">
              <a14:compatExt xmlns:a14="http://schemas.microsoft.com/office/drawing/2010/main" spid="_x0000_s18449"/>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36"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F57492F9-734F-40F5-FCFB-3C5B912D977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37" name="Option Button 14" hidden="1">
          <a:extLst>
            <a:ext uri="{63B3BB69-23CF-44E3-9099-C40C66FF867C}">
              <a14:compatExt xmlns:a14="http://schemas.microsoft.com/office/drawing/2010/main" spid="_x0000_s18449"/>
            </a:ext>
            <a:ext uri="{FF2B5EF4-FFF2-40B4-BE49-F238E27FC236}">
              <a16:creationId xmlns:a16="http://schemas.microsoft.com/office/drawing/2014/main" id="{0DC594FE-17EB-A731-EDDE-8EA662BF94B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3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97D32200-0900-90EB-A2E5-0416A499E553}"/>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39" name="Option Button 14" hidden="1">
          <a:extLst>
            <a:ext uri="{63B3BB69-23CF-44E3-9099-C40C66FF867C}">
              <a14:compatExt xmlns:a14="http://schemas.microsoft.com/office/drawing/2010/main" spid="_x0000_s18449"/>
            </a:ext>
            <a:ext uri="{FF2B5EF4-FFF2-40B4-BE49-F238E27FC236}">
              <a16:creationId xmlns:a16="http://schemas.microsoft.com/office/drawing/2014/main" id="{60A8024B-B505-A940-B7F9-1F4E5411A1F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40"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7C298A6D-AD88-75A9-3717-8F96119760C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41" name="Option Button 14" hidden="1">
          <a:extLst>
            <a:ext uri="{63B3BB69-23CF-44E3-9099-C40C66FF867C}">
              <a14:compatExt xmlns:a14="http://schemas.microsoft.com/office/drawing/2010/main" spid="_x0000_s18449"/>
            </a:ext>
            <a:ext uri="{FF2B5EF4-FFF2-40B4-BE49-F238E27FC236}">
              <a16:creationId xmlns:a16="http://schemas.microsoft.com/office/drawing/2014/main" id="{9786027B-3DB6-9A04-B04A-F842D8EA510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42"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B1AEC810-FD7B-C3C2-597C-F76E9DD695E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53" name="Option Button 14" hidden="1">
          <a:extLst>
            <a:ext uri="{63B3BB69-23CF-44E3-9099-C40C66FF867C}">
              <a14:compatExt xmlns:a14="http://schemas.microsoft.com/office/drawing/2010/main" spid="_x0000_s18449"/>
            </a:ext>
            <a:ext uri="{FF2B5EF4-FFF2-40B4-BE49-F238E27FC236}">
              <a16:creationId xmlns:a16="http://schemas.microsoft.com/office/drawing/2014/main" id="{BA953AA6-3DB8-D07E-E0FF-469859A79DD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54"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CB758347-4BB1-F439-5246-344406F5411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55" name="Option Button 14" hidden="1">
          <a:extLst>
            <a:ext uri="{63B3BB69-23CF-44E3-9099-C40C66FF867C}">
              <a14:compatExt xmlns:a14="http://schemas.microsoft.com/office/drawing/2010/main" spid="_x0000_s18449"/>
            </a:ext>
            <a:ext uri="{FF2B5EF4-FFF2-40B4-BE49-F238E27FC236}">
              <a16:creationId xmlns:a16="http://schemas.microsoft.com/office/drawing/2014/main" id="{5B925601-7E34-3EEE-621F-F1EB45B3F9D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56"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EE38B58B-A701-CAAF-49D0-7E3009491BF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57" name="Option Button 14" hidden="1">
          <a:extLst>
            <a:ext uri="{63B3BB69-23CF-44E3-9099-C40C66FF867C}">
              <a14:compatExt xmlns:a14="http://schemas.microsoft.com/office/drawing/2010/main" spid="_x0000_s18449"/>
            </a:ext>
            <a:ext uri="{FF2B5EF4-FFF2-40B4-BE49-F238E27FC236}">
              <a16:creationId xmlns:a16="http://schemas.microsoft.com/office/drawing/2014/main" id="{E21377C8-2DB1-FB5D-89D5-90C8AE022F6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58"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AA0F0D3C-7772-3F8B-D3BE-B490FA4469DA}"/>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59" name="Option Button 14" hidden="1">
          <a:extLst>
            <a:ext uri="{63B3BB69-23CF-44E3-9099-C40C66FF867C}">
              <a14:compatExt xmlns:a14="http://schemas.microsoft.com/office/drawing/2010/main" spid="_x0000_s18449"/>
            </a:ext>
            <a:ext uri="{FF2B5EF4-FFF2-40B4-BE49-F238E27FC236}">
              <a16:creationId xmlns:a16="http://schemas.microsoft.com/office/drawing/2014/main" id="{0662E0C5-4A01-B2F9-4130-6C3E8C32FD0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76200</xdr:colOff>
          <xdr:row>26</xdr:row>
          <xdr:rowOff>76200</xdr:rowOff>
        </xdr:from>
        <xdr:to>
          <xdr:col>15</xdr:col>
          <xdr:colOff>1104900</xdr:colOff>
          <xdr:row>28</xdr:row>
          <xdr:rowOff>198120</xdr:rowOff>
        </xdr:to>
        <xdr:sp macro="" textlink="">
          <xdr:nvSpPr>
            <xdr:cNvPr id="18460" name="Group Box 21" hidden="1">
              <a:extLst>
                <a:ext uri="{63B3BB69-23CF-44E3-9099-C40C66FF867C}">
                  <a14:compatExt spid="_x0000_s18453"/>
                </a:ext>
                <a:ext uri="{FF2B5EF4-FFF2-40B4-BE49-F238E27FC236}">
                  <a16:creationId xmlns:a16="http://schemas.microsoft.com/office/drawing/2014/main" id="{00000000-0008-0000-0A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IN" sz="800" b="0" i="0" u="none" strike="noStrike" baseline="0">
                  <a:solidFill>
                    <a:srgbClr val="000000"/>
                  </a:solidFill>
                  <a:latin typeface="Tahoma"/>
                  <a:ea typeface="Tahoma"/>
                  <a:cs typeface="Tahoma"/>
                </a:rPr>
                <a:t>Select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26</xdr:row>
          <xdr:rowOff>213360</xdr:rowOff>
        </xdr:from>
        <xdr:to>
          <xdr:col>15</xdr:col>
          <xdr:colOff>1043940</xdr:colOff>
          <xdr:row>27</xdr:row>
          <xdr:rowOff>190500</xdr:rowOff>
        </xdr:to>
        <xdr:sp macro="" textlink="">
          <xdr:nvSpPr>
            <xdr:cNvPr id="18461" name="Option Button 22" hidden="1">
              <a:extLst>
                <a:ext uri="{63B3BB69-23CF-44E3-9099-C40C66FF867C}">
                  <a14:compatExt spid="_x0000_s18454"/>
                </a:ext>
                <a:ext uri="{FF2B5EF4-FFF2-40B4-BE49-F238E27FC236}">
                  <a16:creationId xmlns:a16="http://schemas.microsoft.com/office/drawing/2014/main" id="{00000000-0008-0000-0A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Old Regime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27</xdr:row>
          <xdr:rowOff>182880</xdr:rowOff>
        </xdr:from>
        <xdr:to>
          <xdr:col>15</xdr:col>
          <xdr:colOff>982980</xdr:colOff>
          <xdr:row>28</xdr:row>
          <xdr:rowOff>160020</xdr:rowOff>
        </xdr:to>
        <xdr:sp macro="" textlink="">
          <xdr:nvSpPr>
            <xdr:cNvPr id="18462" name="Option Button 23" hidden="1">
              <a:extLst>
                <a:ext uri="{63B3BB69-23CF-44E3-9099-C40C66FF867C}">
                  <a14:compatExt spid="_x0000_s18455"/>
                </a:ext>
                <a:ext uri="{FF2B5EF4-FFF2-40B4-BE49-F238E27FC236}">
                  <a16:creationId xmlns:a16="http://schemas.microsoft.com/office/drawing/2014/main" id="{00000000-0008-0000-0A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IN" sz="800" b="0" i="0" u="none" strike="noStrike" baseline="0">
                  <a:solidFill>
                    <a:srgbClr val="000000"/>
                  </a:solidFill>
                  <a:latin typeface="Tahoma"/>
                  <a:ea typeface="Tahoma"/>
                  <a:cs typeface="Tahoma"/>
                </a:rPr>
                <a:t>New Regime</a:t>
              </a:r>
            </a:p>
          </xdr:txBody>
        </xdr:sp>
        <xdr:clientData/>
      </xdr:twoCellAnchor>
    </mc:Choice>
    <mc:Fallback/>
  </mc:AlternateContent>
  <xdr:twoCellAnchor editAs="oneCell">
    <xdr:from>
      <xdr:col>15</xdr:col>
      <xdr:colOff>129540</xdr:colOff>
      <xdr:row>17</xdr:row>
      <xdr:rowOff>129540</xdr:rowOff>
    </xdr:from>
    <xdr:to>
      <xdr:col>15</xdr:col>
      <xdr:colOff>838200</xdr:colOff>
      <xdr:row>18</xdr:row>
      <xdr:rowOff>114300</xdr:rowOff>
    </xdr:to>
    <xdr:sp macro="" textlink="">
      <xdr:nvSpPr>
        <xdr:cNvPr id="18463"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1345B4F1-8DCD-FE76-548A-36A44A92F04C}"/>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64" name="Option Button 14" hidden="1">
          <a:extLst>
            <a:ext uri="{63B3BB69-23CF-44E3-9099-C40C66FF867C}">
              <a14:compatExt xmlns:a14="http://schemas.microsoft.com/office/drawing/2010/main" spid="_x0000_s18449"/>
            </a:ext>
            <a:ext uri="{FF2B5EF4-FFF2-40B4-BE49-F238E27FC236}">
              <a16:creationId xmlns:a16="http://schemas.microsoft.com/office/drawing/2014/main" id="{F6FF6353-A374-B1E4-3A1E-640B962282C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65"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B50A4CC2-287F-8CF0-3464-2345B6AF267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16</xdr:col>
      <xdr:colOff>0</xdr:colOff>
      <xdr:row>21</xdr:row>
      <xdr:rowOff>160020</xdr:rowOff>
    </xdr:to>
    <xdr:sp macro="" textlink="">
      <xdr:nvSpPr>
        <xdr:cNvPr id="18466" name="Option Button 14" hidden="1">
          <a:extLst>
            <a:ext uri="{63B3BB69-23CF-44E3-9099-C40C66FF867C}">
              <a14:compatExt xmlns:a14="http://schemas.microsoft.com/office/drawing/2010/main" spid="_x0000_s18449"/>
            </a:ext>
            <a:ext uri="{FF2B5EF4-FFF2-40B4-BE49-F238E27FC236}">
              <a16:creationId xmlns:a16="http://schemas.microsoft.com/office/drawing/2014/main" id="{A7E4EFC4-9415-8E86-BC30-EE79951ABE1B}"/>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67"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6BD2DCCF-2AD2-E50B-BE47-931906A472D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15</xdr:col>
      <xdr:colOff>1295400</xdr:colOff>
      <xdr:row>21</xdr:row>
      <xdr:rowOff>160020</xdr:rowOff>
    </xdr:to>
    <xdr:sp macro="" textlink="">
      <xdr:nvSpPr>
        <xdr:cNvPr id="18468" name="Option Button 14" hidden="1">
          <a:extLst>
            <a:ext uri="{63B3BB69-23CF-44E3-9099-C40C66FF867C}">
              <a14:compatExt xmlns:a14="http://schemas.microsoft.com/office/drawing/2010/main" spid="_x0000_s18449"/>
            </a:ext>
            <a:ext uri="{FF2B5EF4-FFF2-40B4-BE49-F238E27FC236}">
              <a16:creationId xmlns:a16="http://schemas.microsoft.com/office/drawing/2014/main" id="{E9E1D580-F97A-1BC5-8614-B69FADC7AF0F}"/>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69"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1C466BFA-6BB5-EF81-A67B-0E9A309E5E2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15</xdr:col>
      <xdr:colOff>1295400</xdr:colOff>
      <xdr:row>21</xdr:row>
      <xdr:rowOff>160020</xdr:rowOff>
    </xdr:to>
    <xdr:sp macro="" textlink="">
      <xdr:nvSpPr>
        <xdr:cNvPr id="18470" name="Option Button 14" hidden="1">
          <a:extLst>
            <a:ext uri="{63B3BB69-23CF-44E3-9099-C40C66FF867C}">
              <a14:compatExt xmlns:a14="http://schemas.microsoft.com/office/drawing/2010/main" spid="_x0000_s18449"/>
            </a:ext>
            <a:ext uri="{FF2B5EF4-FFF2-40B4-BE49-F238E27FC236}">
              <a16:creationId xmlns:a16="http://schemas.microsoft.com/office/drawing/2014/main" id="{55E81DB6-A6A2-619E-3580-BFC37732052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129540</xdr:colOff>
      <xdr:row>17</xdr:row>
      <xdr:rowOff>129540</xdr:rowOff>
    </xdr:from>
    <xdr:to>
      <xdr:col>15</xdr:col>
      <xdr:colOff>838200</xdr:colOff>
      <xdr:row>18</xdr:row>
      <xdr:rowOff>114300</xdr:rowOff>
    </xdr:to>
    <xdr:sp macro="" textlink="">
      <xdr:nvSpPr>
        <xdr:cNvPr id="18471" name="Option Button 11" descr="OLd Regime" hidden="1">
          <a:extLst>
            <a:ext uri="{63B3BB69-23CF-44E3-9099-C40C66FF867C}">
              <a14:compatExt xmlns:a14="http://schemas.microsoft.com/office/drawing/2010/main" spid="_x0000_s18448"/>
            </a:ext>
            <a:ext uri="{FF2B5EF4-FFF2-40B4-BE49-F238E27FC236}">
              <a16:creationId xmlns:a16="http://schemas.microsoft.com/office/drawing/2014/main" id="{CF1BF8DB-CD07-5F77-500C-FBBA6B4B8093}"/>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274320</xdr:colOff>
      <xdr:row>20</xdr:row>
      <xdr:rowOff>205740</xdr:rowOff>
    </xdr:from>
    <xdr:to>
      <xdr:col>15</xdr:col>
      <xdr:colOff>1295400</xdr:colOff>
      <xdr:row>21</xdr:row>
      <xdr:rowOff>160020</xdr:rowOff>
    </xdr:to>
    <xdr:sp macro="" textlink="">
      <xdr:nvSpPr>
        <xdr:cNvPr id="18472" name="Option Button 14" hidden="1">
          <a:extLst>
            <a:ext uri="{63B3BB69-23CF-44E3-9099-C40C66FF867C}">
              <a14:compatExt xmlns:a14="http://schemas.microsoft.com/office/drawing/2010/main" spid="_x0000_s18449"/>
            </a:ext>
            <a:ext uri="{FF2B5EF4-FFF2-40B4-BE49-F238E27FC236}">
              <a16:creationId xmlns:a16="http://schemas.microsoft.com/office/drawing/2014/main" id="{71439808-6F0E-3716-9276-149BDA3D63F2}"/>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129540</xdr:colOff>
          <xdr:row>17</xdr:row>
          <xdr:rowOff>129540</xdr:rowOff>
        </xdr:from>
        <xdr:to>
          <xdr:col>15</xdr:col>
          <xdr:colOff>838200</xdr:colOff>
          <xdr:row>18</xdr:row>
          <xdr:rowOff>114300</xdr:rowOff>
        </xdr:to>
        <xdr:sp macro="" textlink="">
          <xdr:nvSpPr>
            <xdr:cNvPr id="18473" name="Option Button 11" descr="OLd Regime" hidden="1">
              <a:extLst>
                <a:ext uri="{63B3BB69-23CF-44E3-9099-C40C66FF867C}">
                  <a14:compatExt spid="_x0000_s18448"/>
                </a:ext>
                <a:ext uri="{FF2B5EF4-FFF2-40B4-BE49-F238E27FC236}">
                  <a16:creationId xmlns:a16="http://schemas.microsoft.com/office/drawing/2014/main" id="{AEDE5D7A-FBC2-EB0E-F3EF-F83D8EEBD4E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274320</xdr:colOff>
          <xdr:row>20</xdr:row>
          <xdr:rowOff>205740</xdr:rowOff>
        </xdr:from>
        <xdr:to>
          <xdr:col>15</xdr:col>
          <xdr:colOff>1295400</xdr:colOff>
          <xdr:row>21</xdr:row>
          <xdr:rowOff>160020</xdr:rowOff>
        </xdr:to>
        <xdr:sp macro="" textlink="">
          <xdr:nvSpPr>
            <xdr:cNvPr id="18474" name="Option Button 14" hidden="1">
              <a:extLst>
                <a:ext uri="{63B3BB69-23CF-44E3-9099-C40C66FF867C}">
                  <a14:compatExt spid="_x0000_s18449"/>
                </a:ext>
                <a:ext uri="{FF2B5EF4-FFF2-40B4-BE49-F238E27FC236}">
                  <a16:creationId xmlns:a16="http://schemas.microsoft.com/office/drawing/2014/main" id="{AFF6C94B-00D9-984E-9197-A686F9A86C3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6.vml"/><Relationship Id="rId7" Type="http://schemas.openxmlformats.org/officeDocument/2006/relationships/image" Target="../media/image4.emf"/><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ontrol" Target="../activeX/activeX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5.emf"/></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7.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trlProp" Target="../ctrlProps/ctrlProp3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6" Type="http://schemas.openxmlformats.org/officeDocument/2006/relationships/comments" Target="../comments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drawing" Target="../drawings/drawing6.xml"/><Relationship Id="rId7" Type="http://schemas.openxmlformats.org/officeDocument/2006/relationships/ctrlProp" Target="../ctrlProps/ctrlProp19.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FF0000"/>
  </sheetPr>
  <dimension ref="A1:D46"/>
  <sheetViews>
    <sheetView showGridLines="0" tabSelected="1" workbookViewId="0">
      <selection activeCell="C8" sqref="C8"/>
    </sheetView>
  </sheetViews>
  <sheetFormatPr defaultRowHeight="14.4"/>
  <cols>
    <col min="1" max="1" width="3.21875" customWidth="1"/>
    <col min="2" max="2" width="24.5546875" customWidth="1"/>
    <col min="3" max="3" width="140.21875" customWidth="1"/>
    <col min="4" max="4" width="3.21875" customWidth="1"/>
  </cols>
  <sheetData>
    <row r="1" spans="1:4" ht="15" thickBot="1">
      <c r="A1" s="637"/>
      <c r="B1" s="637"/>
      <c r="C1" s="637"/>
      <c r="D1" s="637"/>
    </row>
    <row r="2" spans="1:4" ht="28.2" thickTop="1">
      <c r="A2" s="637"/>
      <c r="B2" s="639" t="s">
        <v>983</v>
      </c>
      <c r="C2" s="640"/>
      <c r="D2" s="637"/>
    </row>
    <row r="3" spans="1:4" ht="17.399999999999999">
      <c r="A3" s="637"/>
      <c r="B3" s="641" t="s">
        <v>509</v>
      </c>
      <c r="C3" s="641"/>
      <c r="D3" s="637"/>
    </row>
    <row r="4" spans="1:4" ht="70.5" customHeight="1" thickBot="1">
      <c r="A4" s="637"/>
      <c r="C4" s="368" t="s">
        <v>1018</v>
      </c>
      <c r="D4" s="637"/>
    </row>
    <row r="5" spans="1:4" ht="34.049999999999997" customHeight="1" thickTop="1" thickBot="1">
      <c r="A5" s="637"/>
      <c r="B5" s="642" t="s">
        <v>639</v>
      </c>
      <c r="C5" s="643"/>
      <c r="D5" s="637"/>
    </row>
    <row r="6" spans="1:4" ht="29.55" customHeight="1" thickTop="1">
      <c r="A6" s="637"/>
      <c r="B6" s="369" t="s">
        <v>638</v>
      </c>
      <c r="C6" s="370" t="s">
        <v>640</v>
      </c>
      <c r="D6" s="637"/>
    </row>
    <row r="7" spans="1:4" ht="53.1" customHeight="1">
      <c r="A7" s="637"/>
      <c r="B7" s="369" t="s">
        <v>641</v>
      </c>
      <c r="C7" s="396" t="s">
        <v>984</v>
      </c>
      <c r="D7" s="637"/>
    </row>
    <row r="8" spans="1:4" s="6" customFormat="1" ht="43.5" customHeight="1">
      <c r="A8" s="637"/>
      <c r="B8" s="28" t="s">
        <v>642</v>
      </c>
      <c r="C8" s="520" t="s">
        <v>648</v>
      </c>
      <c r="D8" s="637"/>
    </row>
    <row r="9" spans="1:4" s="360" customFormat="1" ht="58.05" customHeight="1">
      <c r="A9" s="637"/>
      <c r="B9" s="28" t="s">
        <v>236</v>
      </c>
      <c r="C9" s="521" t="s">
        <v>649</v>
      </c>
      <c r="D9" s="637"/>
    </row>
    <row r="10" spans="1:4" ht="41.55" customHeight="1">
      <c r="A10" s="637"/>
      <c r="B10" s="518" t="s">
        <v>643</v>
      </c>
      <c r="C10" s="343" t="s">
        <v>505</v>
      </c>
      <c r="D10" s="637"/>
    </row>
    <row r="11" spans="1:4" ht="33" customHeight="1">
      <c r="A11" s="637"/>
      <c r="B11" s="28" t="s">
        <v>644</v>
      </c>
      <c r="C11" s="343" t="s">
        <v>472</v>
      </c>
      <c r="D11" s="637"/>
    </row>
    <row r="12" spans="1:4" ht="33" customHeight="1">
      <c r="A12" s="637"/>
      <c r="B12" s="28" t="s">
        <v>906</v>
      </c>
      <c r="C12" s="343" t="s">
        <v>947</v>
      </c>
      <c r="D12" s="637"/>
    </row>
    <row r="13" spans="1:4" ht="33" hidden="1" customHeight="1">
      <c r="A13" s="637"/>
      <c r="B13" s="28" t="s">
        <v>907</v>
      </c>
      <c r="C13" s="343" t="s">
        <v>910</v>
      </c>
      <c r="D13" s="637"/>
    </row>
    <row r="14" spans="1:4" ht="33" hidden="1" customHeight="1">
      <c r="A14" s="637"/>
      <c r="B14" s="28" t="s">
        <v>908</v>
      </c>
      <c r="C14" s="343" t="s">
        <v>909</v>
      </c>
      <c r="D14" s="637"/>
    </row>
    <row r="15" spans="1:4" ht="33" hidden="1" customHeight="1">
      <c r="A15" s="637"/>
      <c r="B15" s="28" t="s">
        <v>966</v>
      </c>
      <c r="C15" s="343" t="s">
        <v>237</v>
      </c>
      <c r="D15" s="637"/>
    </row>
    <row r="16" spans="1:4" ht="30.6" hidden="1" customHeight="1">
      <c r="A16" s="637"/>
      <c r="B16" s="28" t="s">
        <v>968</v>
      </c>
      <c r="C16" s="343" t="s">
        <v>967</v>
      </c>
      <c r="D16" s="637"/>
    </row>
    <row r="17" spans="1:4" ht="30" customHeight="1">
      <c r="A17" s="637"/>
      <c r="B17" s="26" t="s">
        <v>234</v>
      </c>
      <c r="C17" s="344" t="s">
        <v>235</v>
      </c>
      <c r="D17" s="637"/>
    </row>
    <row r="18" spans="1:4">
      <c r="A18" s="637"/>
      <c r="B18" s="30"/>
      <c r="C18" s="29"/>
      <c r="D18" s="637"/>
    </row>
    <row r="19" spans="1:4">
      <c r="A19" s="637"/>
      <c r="B19" s="30"/>
      <c r="C19" s="29" t="s">
        <v>488</v>
      </c>
      <c r="D19" s="637"/>
    </row>
    <row r="20" spans="1:4">
      <c r="A20" s="637"/>
      <c r="B20" s="30"/>
      <c r="C20" s="638"/>
      <c r="D20" s="637"/>
    </row>
    <row r="21" spans="1:4">
      <c r="A21" s="637"/>
      <c r="B21" s="30"/>
      <c r="C21" s="638"/>
      <c r="D21" s="637"/>
    </row>
    <row r="22" spans="1:4">
      <c r="A22" s="637"/>
      <c r="B22" s="30"/>
      <c r="C22" s="638"/>
      <c r="D22" s="637"/>
    </row>
    <row r="23" spans="1:4">
      <c r="A23" s="637"/>
      <c r="B23" s="30"/>
      <c r="C23" s="638"/>
      <c r="D23" s="637"/>
    </row>
    <row r="24" spans="1:4">
      <c r="A24" s="637"/>
      <c r="B24" s="30"/>
      <c r="C24" s="638"/>
      <c r="D24" s="637"/>
    </row>
    <row r="25" spans="1:4">
      <c r="A25" s="637"/>
      <c r="B25" s="29"/>
      <c r="C25" s="29" t="s">
        <v>489</v>
      </c>
      <c r="D25" s="637"/>
    </row>
    <row r="26" spans="1:4">
      <c r="A26" s="637"/>
      <c r="B26" s="637"/>
      <c r="C26" s="637"/>
      <c r="D26" s="637"/>
    </row>
    <row r="27" spans="1:4" ht="15" thickBot="1">
      <c r="C27" s="447"/>
    </row>
    <row r="28" spans="1:4" ht="18.600000000000001" thickTop="1" thickBot="1">
      <c r="C28" s="446" t="s">
        <v>619</v>
      </c>
    </row>
    <row r="29" spans="1:4" ht="15.6" thickTop="1" thickBot="1">
      <c r="C29" s="445" t="s">
        <v>604</v>
      </c>
    </row>
    <row r="30" spans="1:4" ht="15.6" thickTop="1" thickBot="1">
      <c r="C30" s="445" t="s">
        <v>605</v>
      </c>
    </row>
    <row r="31" spans="1:4" ht="15.6" thickTop="1" thickBot="1">
      <c r="C31" s="445" t="s">
        <v>614</v>
      </c>
    </row>
    <row r="32" spans="1:4" ht="15.6" thickTop="1" thickBot="1">
      <c r="C32" s="445" t="s">
        <v>606</v>
      </c>
    </row>
    <row r="33" spans="2:3" ht="15.6" thickTop="1" thickBot="1">
      <c r="C33" s="445" t="s">
        <v>948</v>
      </c>
    </row>
    <row r="34" spans="2:3" ht="15.6" thickTop="1" thickBot="1">
      <c r="C34" s="445" t="s">
        <v>613</v>
      </c>
    </row>
    <row r="35" spans="2:3" ht="15.6" thickTop="1" thickBot="1">
      <c r="C35" s="445" t="s">
        <v>620</v>
      </c>
    </row>
    <row r="36" spans="2:3" ht="15.6" thickTop="1" thickBot="1">
      <c r="C36" s="445"/>
    </row>
    <row r="37" spans="2:3" ht="15.6" thickTop="1" thickBot="1">
      <c r="C37" s="445"/>
    </row>
    <row r="38" spans="2:3" ht="15" thickTop="1"/>
    <row r="39" spans="2:3">
      <c r="B39" s="27" t="s">
        <v>1016</v>
      </c>
      <c r="C39" s="636" t="s">
        <v>1017</v>
      </c>
    </row>
    <row r="40" spans="2:3">
      <c r="B40" s="27"/>
      <c r="C40" s="636"/>
    </row>
    <row r="44" spans="2:3">
      <c r="B44" s="27"/>
      <c r="C44" s="27"/>
    </row>
    <row r="45" spans="2:3">
      <c r="B45" s="27"/>
      <c r="C45" s="27"/>
    </row>
    <row r="46" spans="2:3">
      <c r="B46" s="360"/>
      <c r="C46" s="634"/>
    </row>
  </sheetData>
  <sheetProtection algorithmName="SHA-512" hashValue="IIBXI8yuDV4pxwh0GTqqQsbJsy9H+zoBB1I9pnC6L63U0f0vxOLc8GS+r3wjwgmON56pl5rp+S+ze4ocvq2HDA==" saltValue="84Xy+lQ6UUn3vFNcf/oBtA==" spinCount="100000" sheet="1" objects="1" scenarios="1" formatColumns="0" formatRows="0"/>
  <customSheetViews>
    <customSheetView guid="{1E5138D0-1BD0-4D7E-A5B4-E19521ADA196}" showGridLines="0" topLeftCell="A4">
      <selection activeCell="C6" sqref="C6:S6"/>
      <pageMargins left="0.7" right="0.7" top="0.75" bottom="0.75" header="0.3" footer="0.3"/>
    </customSheetView>
  </customSheetViews>
  <mergeCells count="8">
    <mergeCell ref="A1:A25"/>
    <mergeCell ref="B1:D1"/>
    <mergeCell ref="D2:D26"/>
    <mergeCell ref="A26:C26"/>
    <mergeCell ref="C20:C24"/>
    <mergeCell ref="B2:C2"/>
    <mergeCell ref="B3:C3"/>
    <mergeCell ref="B5:C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FF0000"/>
  </sheetPr>
  <dimension ref="A1:V161"/>
  <sheetViews>
    <sheetView showGridLines="0" topLeftCell="A68" workbookViewId="0">
      <selection activeCell="G84" sqref="G84:H84"/>
    </sheetView>
  </sheetViews>
  <sheetFormatPr defaultRowHeight="14.4"/>
  <cols>
    <col min="1" max="1" width="2.77734375" customWidth="1"/>
    <col min="2" max="2" width="6.21875" customWidth="1"/>
    <col min="3" max="3" width="9" customWidth="1"/>
    <col min="4" max="4" width="8.77734375" customWidth="1"/>
    <col min="5" max="5" width="14.77734375" customWidth="1"/>
    <col min="6" max="6" width="15.21875" customWidth="1"/>
    <col min="7" max="11" width="5.5546875" customWidth="1"/>
    <col min="12" max="12" width="5.21875" customWidth="1"/>
    <col min="13" max="13" width="3.21875" customWidth="1"/>
  </cols>
  <sheetData>
    <row r="1" spans="1:22" ht="15" thickBot="1">
      <c r="A1" s="449"/>
      <c r="B1" s="449"/>
      <c r="C1" s="449"/>
      <c r="D1" s="449"/>
      <c r="E1" s="449"/>
      <c r="F1" s="449"/>
      <c r="G1" s="449"/>
      <c r="H1" s="449"/>
      <c r="I1" s="449"/>
      <c r="J1" s="449"/>
      <c r="K1" s="449"/>
      <c r="L1" s="449"/>
      <c r="M1" s="449"/>
    </row>
    <row r="2" spans="1:22" ht="11.1" customHeight="1" thickTop="1">
      <c r="A2" s="449"/>
      <c r="B2" s="1182" t="s">
        <v>751</v>
      </c>
      <c r="C2" s="1183"/>
      <c r="D2" s="1183"/>
      <c r="E2" s="1183"/>
      <c r="F2" s="1183"/>
      <c r="G2" s="1183"/>
      <c r="H2" s="1183"/>
      <c r="I2" s="1183"/>
      <c r="J2" s="1183"/>
      <c r="K2" s="1183"/>
      <c r="L2" s="1183"/>
      <c r="M2" s="449"/>
      <c r="O2" s="1257" t="s">
        <v>898</v>
      </c>
      <c r="P2" s="1258"/>
      <c r="Q2" s="1258"/>
      <c r="R2" s="1258"/>
      <c r="S2" s="1258"/>
      <c r="T2" s="1258"/>
      <c r="U2" s="1258"/>
      <c r="V2" s="1259"/>
    </row>
    <row r="3" spans="1:22" ht="12" customHeight="1">
      <c r="A3" s="449"/>
      <c r="B3" s="1184" t="s">
        <v>752</v>
      </c>
      <c r="C3" s="1183"/>
      <c r="D3" s="1183"/>
      <c r="E3" s="1183"/>
      <c r="F3" s="1183"/>
      <c r="G3" s="1183"/>
      <c r="H3" s="1183"/>
      <c r="I3" s="1183"/>
      <c r="J3" s="1183"/>
      <c r="K3" s="1183"/>
      <c r="L3" s="1183"/>
      <c r="M3" s="449"/>
      <c r="O3" s="1260"/>
      <c r="P3" s="1183"/>
      <c r="Q3" s="1183"/>
      <c r="R3" s="1183"/>
      <c r="S3" s="1183"/>
      <c r="T3" s="1183"/>
      <c r="U3" s="1183"/>
      <c r="V3" s="1261"/>
    </row>
    <row r="4" spans="1:22" ht="10.5" customHeight="1" thickBot="1">
      <c r="A4" s="449"/>
      <c r="B4" s="1184" t="s">
        <v>753</v>
      </c>
      <c r="C4" s="1183"/>
      <c r="D4" s="1183"/>
      <c r="E4" s="1183"/>
      <c r="F4" s="1183"/>
      <c r="G4" s="1183"/>
      <c r="H4" s="1183"/>
      <c r="I4" s="1183"/>
      <c r="J4" s="1183"/>
      <c r="K4" s="1183"/>
      <c r="L4" s="1183"/>
      <c r="M4" s="449"/>
      <c r="O4" s="1262"/>
      <c r="P4" s="1263"/>
      <c r="Q4" s="1263"/>
      <c r="R4" s="1263"/>
      <c r="S4" s="1263"/>
      <c r="T4" s="1263"/>
      <c r="U4" s="1263"/>
      <c r="V4" s="1264"/>
    </row>
    <row r="5" spans="1:22" ht="15" thickTop="1">
      <c r="A5" s="449"/>
      <c r="B5" s="1184" t="s">
        <v>754</v>
      </c>
      <c r="C5" s="1183"/>
      <c r="D5" s="1183"/>
      <c r="E5" s="1183"/>
      <c r="F5" s="1183"/>
      <c r="G5" s="1183"/>
      <c r="H5" s="1183"/>
      <c r="I5" s="1183"/>
      <c r="J5" s="1183"/>
      <c r="K5" s="1183"/>
      <c r="L5" s="1183"/>
      <c r="M5" s="449"/>
      <c r="O5" s="1265" t="s">
        <v>899</v>
      </c>
      <c r="P5" s="1266"/>
      <c r="Q5" s="1266"/>
      <c r="R5" s="1266"/>
      <c r="S5" s="1266"/>
      <c r="T5" s="1266"/>
      <c r="U5" s="1266"/>
      <c r="V5" s="1267"/>
    </row>
    <row r="6" spans="1:22" ht="11.55" customHeight="1" thickBot="1">
      <c r="A6" s="449"/>
      <c r="B6" s="1184" t="s">
        <v>749</v>
      </c>
      <c r="C6" s="1183"/>
      <c r="D6" s="1183"/>
      <c r="E6" s="1185"/>
      <c r="F6" s="1186"/>
      <c r="G6" s="1184" t="s">
        <v>750</v>
      </c>
      <c r="H6" s="1183"/>
      <c r="I6" s="1183"/>
      <c r="J6" s="1185"/>
      <c r="K6" s="1186"/>
      <c r="L6" s="1186"/>
      <c r="M6" s="449"/>
      <c r="O6" s="1268"/>
      <c r="P6" s="1269"/>
      <c r="Q6" s="1269"/>
      <c r="R6" s="1269"/>
      <c r="S6" s="1269"/>
      <c r="T6" s="1269"/>
      <c r="U6" s="1269"/>
      <c r="V6" s="1270"/>
    </row>
    <row r="7" spans="1:22" ht="15.6" thickTop="1" thickBot="1">
      <c r="A7" s="449"/>
      <c r="B7" s="1192" t="s">
        <v>742</v>
      </c>
      <c r="C7" s="1193"/>
      <c r="D7" s="1193"/>
      <c r="E7" s="1193"/>
      <c r="F7" s="1193"/>
      <c r="G7" s="1192" t="s">
        <v>755</v>
      </c>
      <c r="H7" s="1193"/>
      <c r="I7" s="1193"/>
      <c r="J7" s="1193"/>
      <c r="K7" s="1193"/>
      <c r="L7" s="1193"/>
      <c r="M7" s="449"/>
      <c r="O7" s="1268"/>
      <c r="P7" s="1269"/>
      <c r="Q7" s="1269"/>
      <c r="R7" s="1269"/>
      <c r="S7" s="1269"/>
      <c r="T7" s="1269"/>
      <c r="U7" s="1269"/>
      <c r="V7" s="1270"/>
    </row>
    <row r="8" spans="1:22" ht="15.6" thickTop="1" thickBot="1">
      <c r="A8" s="449"/>
      <c r="B8" s="1194" t="str">
        <f>IF('Gen Info'!F11="","",'Gen Info'!F11)</f>
        <v/>
      </c>
      <c r="C8" s="1194"/>
      <c r="D8" s="1194"/>
      <c r="E8" s="1194"/>
      <c r="F8" s="1194"/>
      <c r="G8" s="1188" t="str">
        <f>IF('Gen Info'!C5="","",'Gen Info'!C5)</f>
        <v>HANS RAJ JOSHI</v>
      </c>
      <c r="H8" s="1181"/>
      <c r="I8" s="1181"/>
      <c r="J8" s="1181"/>
      <c r="K8" s="1181"/>
      <c r="L8" s="1181"/>
      <c r="M8" s="449"/>
      <c r="O8" s="1268"/>
      <c r="P8" s="1269"/>
      <c r="Q8" s="1269"/>
      <c r="R8" s="1269"/>
      <c r="S8" s="1269"/>
      <c r="T8" s="1269"/>
      <c r="U8" s="1269"/>
      <c r="V8" s="1270"/>
    </row>
    <row r="9" spans="1:22" ht="15.6" thickTop="1" thickBot="1">
      <c r="A9" s="449"/>
      <c r="B9" s="1194" t="str">
        <f>IF('Gen Info'!F12="","",'Gen Info'!F12)</f>
        <v>GOVT SENIOR SECONDARY SCHOOL RAJPURA PIPERAN,SRI GANGANAGAR</v>
      </c>
      <c r="C9" s="1194"/>
      <c r="D9" s="1194"/>
      <c r="E9" s="1194"/>
      <c r="F9" s="1194"/>
      <c r="G9" s="1194" t="str">
        <f>IF('Gen Info'!C6="","",'Gen Info'!C6)</f>
        <v>Principal</v>
      </c>
      <c r="H9" s="1181"/>
      <c r="I9" s="1181"/>
      <c r="J9" s="1181"/>
      <c r="K9" s="1181"/>
      <c r="L9" s="1181"/>
      <c r="M9" s="449"/>
      <c r="O9" s="1268"/>
      <c r="P9" s="1269"/>
      <c r="Q9" s="1269"/>
      <c r="R9" s="1269"/>
      <c r="S9" s="1269"/>
      <c r="T9" s="1269"/>
      <c r="U9" s="1269"/>
      <c r="V9" s="1270"/>
    </row>
    <row r="10" spans="1:22" ht="27" customHeight="1" thickTop="1" thickBot="1">
      <c r="A10" s="449"/>
      <c r="B10" s="1187" t="s">
        <v>756</v>
      </c>
      <c r="C10" s="1177"/>
      <c r="D10" s="1177"/>
      <c r="E10" s="1187" t="s">
        <v>757</v>
      </c>
      <c r="F10" s="1177"/>
      <c r="G10" s="1187" t="s">
        <v>743</v>
      </c>
      <c r="H10" s="1177"/>
      <c r="I10" s="1177"/>
      <c r="J10" s="1187" t="s">
        <v>758</v>
      </c>
      <c r="K10" s="1177"/>
      <c r="L10" s="1177"/>
      <c r="M10" s="449"/>
      <c r="O10" s="1268"/>
      <c r="P10" s="1269"/>
      <c r="Q10" s="1269"/>
      <c r="R10" s="1269"/>
      <c r="S10" s="1269"/>
      <c r="T10" s="1269"/>
      <c r="U10" s="1269"/>
      <c r="V10" s="1270"/>
    </row>
    <row r="11" spans="1:22" ht="15.6" thickTop="1" thickBot="1">
      <c r="A11" s="449"/>
      <c r="B11" s="1187" t="s">
        <v>875</v>
      </c>
      <c r="C11" s="1177"/>
      <c r="D11" s="1177"/>
      <c r="E11" s="1188" t="str">
        <f>IF('Gen Info'!C10="","",'Gen Info'!C10)</f>
        <v/>
      </c>
      <c r="F11" s="1181"/>
      <c r="G11" s="1188" t="str">
        <f>IF('Gen Info'!C9="","",'Gen Info'!C9)</f>
        <v>XXXXX1234X</v>
      </c>
      <c r="H11" s="1181"/>
      <c r="I11" s="1181"/>
      <c r="J11" s="1189"/>
      <c r="K11" s="1190"/>
      <c r="L11" s="1190"/>
      <c r="M11" s="449"/>
      <c r="O11" s="1271"/>
      <c r="P11" s="1272"/>
      <c r="Q11" s="1272"/>
      <c r="R11" s="1272"/>
      <c r="S11" s="1272"/>
      <c r="T11" s="1272"/>
      <c r="U11" s="1272"/>
      <c r="V11" s="1273"/>
    </row>
    <row r="12" spans="1:22" ht="25.8" customHeight="1" thickTop="1" thickBot="1">
      <c r="A12" s="449"/>
      <c r="B12" s="1191" t="s">
        <v>759</v>
      </c>
      <c r="C12" s="1177"/>
      <c r="D12" s="1177"/>
      <c r="E12" s="1177"/>
      <c r="F12" s="1177"/>
      <c r="G12" s="1191" t="s">
        <v>760</v>
      </c>
      <c r="H12" s="1177"/>
      <c r="I12" s="1191" t="s">
        <v>761</v>
      </c>
      <c r="J12" s="1177"/>
      <c r="K12" s="1177"/>
      <c r="L12" s="1177"/>
      <c r="M12" s="449"/>
      <c r="O12" s="1274" t="s">
        <v>900</v>
      </c>
      <c r="P12" s="1275"/>
      <c r="Q12" s="1275"/>
      <c r="R12" s="1275"/>
      <c r="S12" s="1276" t="s">
        <v>901</v>
      </c>
      <c r="T12" s="1277"/>
      <c r="U12" s="1277"/>
      <c r="V12" s="1278"/>
    </row>
    <row r="13" spans="1:22" ht="27.6" thickTop="1" thickBot="1">
      <c r="A13" s="449"/>
      <c r="B13" s="578" t="s">
        <v>762</v>
      </c>
      <c r="C13" s="1197" t="s">
        <v>763</v>
      </c>
      <c r="D13" s="1177"/>
      <c r="E13" s="1177"/>
      <c r="F13" s="1177"/>
      <c r="G13" s="1198" t="s">
        <v>992</v>
      </c>
      <c r="H13" s="1177"/>
      <c r="I13" s="1187" t="s">
        <v>764</v>
      </c>
      <c r="J13" s="1177"/>
      <c r="K13" s="1191" t="s">
        <v>765</v>
      </c>
      <c r="L13" s="1177"/>
      <c r="M13" s="449"/>
      <c r="O13" s="1274"/>
      <c r="P13" s="1275"/>
      <c r="Q13" s="1275"/>
      <c r="R13" s="1275"/>
      <c r="S13" s="1279"/>
      <c r="T13" s="1280"/>
      <c r="U13" s="1280"/>
      <c r="V13" s="1281"/>
    </row>
    <row r="14" spans="1:22" ht="14.55" customHeight="1" thickTop="1" thickBot="1">
      <c r="A14" s="449"/>
      <c r="B14" s="578" t="s">
        <v>766</v>
      </c>
      <c r="C14" s="1197" t="s">
        <v>767</v>
      </c>
      <c r="D14" s="1177"/>
      <c r="E14" s="579" t="s">
        <v>768</v>
      </c>
      <c r="F14" s="580">
        <v>302005</v>
      </c>
      <c r="G14" s="1177"/>
      <c r="H14" s="1177"/>
      <c r="I14" s="1199" t="s">
        <v>993</v>
      </c>
      <c r="J14" s="1177"/>
      <c r="K14" s="1199" t="s">
        <v>994</v>
      </c>
      <c r="L14" s="1177"/>
      <c r="M14" s="449"/>
      <c r="O14" s="1274"/>
      <c r="P14" s="1275"/>
      <c r="Q14" s="1275"/>
      <c r="R14" s="1275"/>
      <c r="S14" s="1279"/>
      <c r="T14" s="1280"/>
      <c r="U14" s="1280"/>
      <c r="V14" s="1281"/>
    </row>
    <row r="15" spans="1:22" ht="15.6" thickTop="1" thickBot="1">
      <c r="A15" s="449"/>
      <c r="B15" s="1191" t="s">
        <v>769</v>
      </c>
      <c r="C15" s="1177"/>
      <c r="D15" s="1177"/>
      <c r="E15" s="1177"/>
      <c r="F15" s="1177"/>
      <c r="G15" s="1177"/>
      <c r="H15" s="1177"/>
      <c r="I15" s="1177"/>
      <c r="J15" s="1177"/>
      <c r="K15" s="1177"/>
      <c r="L15" s="1177"/>
      <c r="M15" s="449"/>
      <c r="O15" s="1274"/>
      <c r="P15" s="1275"/>
      <c r="Q15" s="1275"/>
      <c r="R15" s="1275"/>
      <c r="S15" s="1282"/>
      <c r="T15" s="1283"/>
      <c r="U15" s="1283"/>
      <c r="V15" s="1284"/>
    </row>
    <row r="16" spans="1:22" ht="37.049999999999997" customHeight="1" thickTop="1" thickBot="1">
      <c r="A16" s="449"/>
      <c r="B16" s="581" t="s">
        <v>770</v>
      </c>
      <c r="C16" s="1195" t="s">
        <v>771</v>
      </c>
      <c r="D16" s="1177"/>
      <c r="E16" s="1177"/>
      <c r="F16" s="582" t="s">
        <v>772</v>
      </c>
      <c r="G16" s="1195" t="s">
        <v>773</v>
      </c>
      <c r="H16" s="1177"/>
      <c r="I16" s="1177"/>
      <c r="J16" s="1195" t="s">
        <v>774</v>
      </c>
      <c r="K16" s="1177"/>
      <c r="L16" s="1177"/>
      <c r="M16" s="449"/>
      <c r="N16" s="575"/>
      <c r="O16" s="1251"/>
      <c r="P16" s="1252"/>
      <c r="Q16" s="1252"/>
      <c r="R16" s="1253"/>
      <c r="S16" s="1255"/>
      <c r="T16" s="1255"/>
      <c r="U16" s="1255"/>
      <c r="V16" s="1256"/>
    </row>
    <row r="17" spans="1:13" ht="15.6" thickTop="1" thickBot="1">
      <c r="A17" s="449"/>
      <c r="B17" s="583" t="s">
        <v>775</v>
      </c>
      <c r="C17" s="1196"/>
      <c r="D17" s="1196"/>
      <c r="E17" s="1196"/>
      <c r="F17" s="593"/>
      <c r="G17" s="1196"/>
      <c r="H17" s="1196"/>
      <c r="I17" s="1196"/>
      <c r="J17" s="1196"/>
      <c r="K17" s="1196"/>
      <c r="L17" s="1196"/>
      <c r="M17" s="449"/>
    </row>
    <row r="18" spans="1:13" ht="15.6" thickTop="1" thickBot="1">
      <c r="A18" s="449"/>
      <c r="B18" s="583" t="s">
        <v>776</v>
      </c>
      <c r="C18" s="1196"/>
      <c r="D18" s="1196"/>
      <c r="E18" s="1196"/>
      <c r="F18" s="593"/>
      <c r="G18" s="1196"/>
      <c r="H18" s="1196"/>
      <c r="I18" s="1196"/>
      <c r="J18" s="1196"/>
      <c r="K18" s="1196"/>
      <c r="L18" s="1196"/>
      <c r="M18" s="449"/>
    </row>
    <row r="19" spans="1:13" ht="15.6" thickTop="1" thickBot="1">
      <c r="A19" s="449"/>
      <c r="B19" s="583" t="s">
        <v>777</v>
      </c>
      <c r="C19" s="1196"/>
      <c r="D19" s="1196"/>
      <c r="E19" s="1196"/>
      <c r="F19" s="593"/>
      <c r="G19" s="1196"/>
      <c r="H19" s="1196"/>
      <c r="I19" s="1196"/>
      <c r="J19" s="1196"/>
      <c r="K19" s="1196"/>
      <c r="L19" s="1196"/>
      <c r="M19" s="449"/>
    </row>
    <row r="20" spans="1:13" ht="15.6" thickTop="1" thickBot="1">
      <c r="A20" s="449"/>
      <c r="B20" s="583" t="s">
        <v>778</v>
      </c>
      <c r="C20" s="1196"/>
      <c r="D20" s="1196"/>
      <c r="E20" s="1196"/>
      <c r="F20" s="593"/>
      <c r="G20" s="1196">
        <v>196000</v>
      </c>
      <c r="H20" s="1196"/>
      <c r="I20" s="1196"/>
      <c r="J20" s="1196">
        <v>196000</v>
      </c>
      <c r="K20" s="1196"/>
      <c r="L20" s="1196"/>
      <c r="M20" s="449"/>
    </row>
    <row r="21" spans="1:13" ht="15.6" thickTop="1" thickBot="1">
      <c r="A21" s="449"/>
      <c r="B21" s="1191" t="s">
        <v>6</v>
      </c>
      <c r="C21" s="1177"/>
      <c r="D21" s="1177"/>
      <c r="E21" s="1177"/>
      <c r="F21" s="590">
        <f>SUM(F17:F20)</f>
        <v>0</v>
      </c>
      <c r="G21" s="1200">
        <f>SUM(G17:G20)</f>
        <v>196000</v>
      </c>
      <c r="H21" s="1181"/>
      <c r="I21" s="1181"/>
      <c r="J21" s="1200">
        <f>SUM(J17:J20)</f>
        <v>196000</v>
      </c>
      <c r="K21" s="1181"/>
      <c r="L21" s="1181"/>
      <c r="M21" s="449"/>
    </row>
    <row r="22" spans="1:13" s="24" customFormat="1" ht="15.6" thickTop="1" thickBot="1">
      <c r="A22" s="449"/>
      <c r="B22" s="1204" t="s">
        <v>779</v>
      </c>
      <c r="C22" s="1190"/>
      <c r="D22" s="1190"/>
      <c r="E22" s="1190"/>
      <c r="F22" s="1190"/>
      <c r="G22" s="1190"/>
      <c r="H22" s="1190"/>
      <c r="I22" s="1190"/>
      <c r="J22" s="1190"/>
      <c r="K22" s="1190"/>
      <c r="L22" s="1190"/>
      <c r="M22" s="449"/>
    </row>
    <row r="23" spans="1:13" s="24" customFormat="1" ht="15.6" thickTop="1" thickBot="1">
      <c r="A23" s="449"/>
      <c r="B23" s="1205" t="s">
        <v>780</v>
      </c>
      <c r="C23" s="1190"/>
      <c r="D23" s="1190"/>
      <c r="E23" s="1190"/>
      <c r="F23" s="1190"/>
      <c r="G23" s="1190"/>
      <c r="H23" s="1190"/>
      <c r="I23" s="1190"/>
      <c r="J23" s="1190"/>
      <c r="K23" s="1190"/>
      <c r="L23" s="1190"/>
      <c r="M23" s="449"/>
    </row>
    <row r="24" spans="1:13" s="24" customFormat="1" ht="15.6" thickTop="1" thickBot="1">
      <c r="A24" s="449"/>
      <c r="B24" s="1206" t="s">
        <v>781</v>
      </c>
      <c r="C24" s="1206" t="s">
        <v>782</v>
      </c>
      <c r="D24" s="1207"/>
      <c r="E24" s="1208" t="s">
        <v>783</v>
      </c>
      <c r="F24" s="1207"/>
      <c r="G24" s="1207"/>
      <c r="H24" s="1207"/>
      <c r="I24" s="1207"/>
      <c r="J24" s="1207"/>
      <c r="K24" s="1207"/>
      <c r="L24" s="1207"/>
      <c r="M24" s="449"/>
    </row>
    <row r="25" spans="1:13" s="24" customFormat="1" ht="28.5" customHeight="1" thickTop="1" thickBot="1">
      <c r="A25" s="449"/>
      <c r="B25" s="1207"/>
      <c r="C25" s="1207"/>
      <c r="D25" s="1207"/>
      <c r="E25" s="588" t="s">
        <v>784</v>
      </c>
      <c r="F25" s="589" t="s">
        <v>785</v>
      </c>
      <c r="G25" s="1206" t="s">
        <v>786</v>
      </c>
      <c r="H25" s="1207"/>
      <c r="I25" s="1207"/>
      <c r="J25" s="1209" t="s">
        <v>787</v>
      </c>
      <c r="K25" s="1207"/>
      <c r="L25" s="1207"/>
      <c r="M25" s="449"/>
    </row>
    <row r="26" spans="1:13" s="24" customFormat="1" ht="15.6" thickTop="1" thickBot="1">
      <c r="A26" s="449"/>
      <c r="B26" s="584">
        <v>1</v>
      </c>
      <c r="C26" s="1201">
        <f>Salary!X10</f>
        <v>13000</v>
      </c>
      <c r="D26" s="713"/>
      <c r="E26" s="585"/>
      <c r="F26" s="585"/>
      <c r="G26" s="1202"/>
      <c r="H26" s="1190"/>
      <c r="I26" s="1190"/>
      <c r="J26" s="1203" t="str">
        <f>IF(E26&gt;"0","Yes","")</f>
        <v/>
      </c>
      <c r="K26" s="1181"/>
      <c r="L26" s="1181"/>
      <c r="M26" s="449"/>
    </row>
    <row r="27" spans="1:13" s="24" customFormat="1" ht="15.6" thickTop="1" thickBot="1">
      <c r="A27" s="449"/>
      <c r="B27" s="584">
        <v>2</v>
      </c>
      <c r="C27" s="1201">
        <f>Salary!X11</f>
        <v>13000</v>
      </c>
      <c r="D27" s="713"/>
      <c r="E27" s="585"/>
      <c r="F27" s="585"/>
      <c r="G27" s="1202"/>
      <c r="H27" s="1190"/>
      <c r="I27" s="1190"/>
      <c r="J27" s="1203" t="str">
        <f t="shared" ref="J27:J39" si="0">IF(E27&gt;"0","Yes","")</f>
        <v/>
      </c>
      <c r="K27" s="1181"/>
      <c r="L27" s="1181"/>
      <c r="M27" s="449"/>
    </row>
    <row r="28" spans="1:13" s="24" customFormat="1" ht="15.6" thickTop="1" thickBot="1">
      <c r="A28" s="449"/>
      <c r="B28" s="584">
        <v>3</v>
      </c>
      <c r="C28" s="1201">
        <f>Salary!X12</f>
        <v>13000</v>
      </c>
      <c r="D28" s="713"/>
      <c r="E28" s="585"/>
      <c r="F28" s="585"/>
      <c r="G28" s="1202"/>
      <c r="H28" s="1190"/>
      <c r="I28" s="1190"/>
      <c r="J28" s="1203" t="str">
        <f t="shared" si="0"/>
        <v/>
      </c>
      <c r="K28" s="1181"/>
      <c r="L28" s="1181"/>
      <c r="M28" s="449"/>
    </row>
    <row r="29" spans="1:13" s="24" customFormat="1" ht="15.6" thickTop="1" thickBot="1">
      <c r="A29" s="449"/>
      <c r="B29" s="584">
        <v>4</v>
      </c>
      <c r="C29" s="1201">
        <f>Salary!X13</f>
        <v>13000</v>
      </c>
      <c r="D29" s="713"/>
      <c r="E29" s="585"/>
      <c r="F29" s="585"/>
      <c r="G29" s="1202"/>
      <c r="H29" s="1190"/>
      <c r="I29" s="1190"/>
      <c r="J29" s="1203" t="str">
        <f t="shared" si="0"/>
        <v/>
      </c>
      <c r="K29" s="1181"/>
      <c r="L29" s="1181"/>
      <c r="M29" s="449"/>
    </row>
    <row r="30" spans="1:13" s="24" customFormat="1" ht="15.6" thickTop="1" thickBot="1">
      <c r="A30" s="449"/>
      <c r="B30" s="584">
        <v>5</v>
      </c>
      <c r="C30" s="1201">
        <f>Salary!X14</f>
        <v>13000</v>
      </c>
      <c r="D30" s="713"/>
      <c r="E30" s="585"/>
      <c r="F30" s="585"/>
      <c r="G30" s="1202"/>
      <c r="H30" s="1190"/>
      <c r="I30" s="1190"/>
      <c r="J30" s="1203" t="str">
        <f t="shared" si="0"/>
        <v/>
      </c>
      <c r="K30" s="1181"/>
      <c r="L30" s="1181"/>
      <c r="M30" s="449"/>
    </row>
    <row r="31" spans="1:13" s="24" customFormat="1" ht="15.6" thickTop="1" thickBot="1">
      <c r="A31" s="449"/>
      <c r="B31" s="584">
        <v>6</v>
      </c>
      <c r="C31" s="1201">
        <f>Salary!X15</f>
        <v>18000</v>
      </c>
      <c r="D31" s="713"/>
      <c r="E31" s="585"/>
      <c r="F31" s="585"/>
      <c r="G31" s="1202"/>
      <c r="H31" s="1190"/>
      <c r="I31" s="1190"/>
      <c r="J31" s="1203" t="str">
        <f t="shared" si="0"/>
        <v/>
      </c>
      <c r="K31" s="1181"/>
      <c r="L31" s="1181"/>
      <c r="M31" s="449"/>
    </row>
    <row r="32" spans="1:13" s="24" customFormat="1" ht="15.6" thickTop="1" thickBot="1">
      <c r="A32" s="449"/>
      <c r="B32" s="584">
        <v>7</v>
      </c>
      <c r="C32" s="1201">
        <f>Salary!X16</f>
        <v>18000</v>
      </c>
      <c r="D32" s="713"/>
      <c r="E32" s="585"/>
      <c r="F32" s="585"/>
      <c r="G32" s="1202"/>
      <c r="H32" s="1190"/>
      <c r="I32" s="1190"/>
      <c r="J32" s="1203" t="str">
        <f t="shared" si="0"/>
        <v/>
      </c>
      <c r="K32" s="1181"/>
      <c r="L32" s="1181"/>
      <c r="M32" s="449"/>
    </row>
    <row r="33" spans="1:13" s="24" customFormat="1" ht="15.6" thickTop="1" thickBot="1">
      <c r="A33" s="449"/>
      <c r="B33" s="584">
        <v>8</v>
      </c>
      <c r="C33" s="1201">
        <f>Salary!X17</f>
        <v>18000</v>
      </c>
      <c r="D33" s="713"/>
      <c r="E33" s="585"/>
      <c r="F33" s="585"/>
      <c r="G33" s="1202"/>
      <c r="H33" s="1190"/>
      <c r="I33" s="1190"/>
      <c r="J33" s="1203" t="str">
        <f t="shared" si="0"/>
        <v/>
      </c>
      <c r="K33" s="1181"/>
      <c r="L33" s="1181"/>
      <c r="M33" s="449"/>
    </row>
    <row r="34" spans="1:13" s="24" customFormat="1" ht="15.6" thickTop="1" thickBot="1">
      <c r="A34" s="449"/>
      <c r="B34" s="584">
        <v>9</v>
      </c>
      <c r="C34" s="1201">
        <f>Salary!X18</f>
        <v>35000</v>
      </c>
      <c r="D34" s="713"/>
      <c r="E34" s="585"/>
      <c r="F34" s="585"/>
      <c r="G34" s="1202"/>
      <c r="H34" s="1190"/>
      <c r="I34" s="1190"/>
      <c r="J34" s="1203" t="str">
        <f t="shared" si="0"/>
        <v/>
      </c>
      <c r="K34" s="1181"/>
      <c r="L34" s="1181"/>
      <c r="M34" s="449"/>
    </row>
    <row r="35" spans="1:13" s="24" customFormat="1" ht="15.6" thickTop="1" thickBot="1">
      <c r="A35" s="449"/>
      <c r="B35" s="584">
        <v>10</v>
      </c>
      <c r="C35" s="1201">
        <f>Salary!X19</f>
        <v>35000</v>
      </c>
      <c r="D35" s="713"/>
      <c r="E35" s="585"/>
      <c r="F35" s="585"/>
      <c r="G35" s="1202"/>
      <c r="H35" s="1190"/>
      <c r="I35" s="1190"/>
      <c r="J35" s="1203" t="str">
        <f t="shared" si="0"/>
        <v/>
      </c>
      <c r="K35" s="1181"/>
      <c r="L35" s="1181"/>
      <c r="M35" s="449"/>
    </row>
    <row r="36" spans="1:13" s="24" customFormat="1" ht="15.6" thickTop="1" thickBot="1">
      <c r="A36" s="449"/>
      <c r="B36" s="584">
        <v>11</v>
      </c>
      <c r="C36" s="1201">
        <f>Salary!X20</f>
        <v>35000</v>
      </c>
      <c r="D36" s="713"/>
      <c r="E36" s="585"/>
      <c r="F36" s="585"/>
      <c r="G36" s="1202"/>
      <c r="H36" s="1190"/>
      <c r="I36" s="1190"/>
      <c r="J36" s="1203" t="str">
        <f t="shared" si="0"/>
        <v/>
      </c>
      <c r="K36" s="1181"/>
      <c r="L36" s="1181"/>
      <c r="M36" s="449"/>
    </row>
    <row r="37" spans="1:13" s="24" customFormat="1" ht="15.6" thickTop="1" thickBot="1">
      <c r="A37" s="449"/>
      <c r="B37" s="584">
        <v>12</v>
      </c>
      <c r="C37" s="1201">
        <f>Salary!X21</f>
        <v>30000</v>
      </c>
      <c r="D37" s="713"/>
      <c r="E37" s="585"/>
      <c r="F37" s="585"/>
      <c r="G37" s="1202"/>
      <c r="H37" s="1190"/>
      <c r="I37" s="1190"/>
      <c r="J37" s="1203" t="str">
        <f t="shared" si="0"/>
        <v/>
      </c>
      <c r="K37" s="1181"/>
      <c r="L37" s="1181"/>
      <c r="M37" s="449"/>
    </row>
    <row r="38" spans="1:13" s="24" customFormat="1" ht="15.6" thickTop="1" thickBot="1">
      <c r="A38" s="449"/>
      <c r="B38" s="584">
        <v>13</v>
      </c>
      <c r="C38" s="1201">
        <f>Salary!X26</f>
        <v>9447</v>
      </c>
      <c r="D38" s="713"/>
      <c r="E38" s="585"/>
      <c r="F38" s="585"/>
      <c r="G38" s="1202"/>
      <c r="H38" s="1190"/>
      <c r="I38" s="1190"/>
      <c r="J38" s="1203" t="str">
        <f t="shared" si="0"/>
        <v/>
      </c>
      <c r="K38" s="1181"/>
      <c r="L38" s="1181"/>
      <c r="M38" s="449"/>
    </row>
    <row r="39" spans="1:13" s="24" customFormat="1" ht="15.6" thickTop="1" thickBot="1">
      <c r="A39" s="449"/>
      <c r="B39" s="584">
        <v>14</v>
      </c>
      <c r="C39" s="1201">
        <f>Salary!X27</f>
        <v>0</v>
      </c>
      <c r="D39" s="713"/>
      <c r="E39" s="585"/>
      <c r="F39" s="585"/>
      <c r="G39" s="1202"/>
      <c r="H39" s="1190"/>
      <c r="I39" s="1190"/>
      <c r="J39" s="1203" t="str">
        <f t="shared" si="0"/>
        <v/>
      </c>
      <c r="K39" s="1181"/>
      <c r="L39" s="1181"/>
      <c r="M39" s="449"/>
    </row>
    <row r="40" spans="1:13" s="24" customFormat="1" ht="15.6" thickTop="1" thickBot="1">
      <c r="A40" s="449"/>
      <c r="B40" s="584">
        <v>15</v>
      </c>
      <c r="C40" s="1210"/>
      <c r="D40" s="1190"/>
      <c r="E40" s="586"/>
      <c r="F40" s="586"/>
      <c r="G40" s="1211"/>
      <c r="H40" s="1190"/>
      <c r="I40" s="1190"/>
      <c r="J40" s="1203" t="str">
        <f>IF(E40&gt;"0","Yes","")</f>
        <v/>
      </c>
      <c r="K40" s="1181"/>
      <c r="L40" s="1181"/>
      <c r="M40" s="449"/>
    </row>
    <row r="41" spans="1:13" s="24" customFormat="1" ht="15.6" thickTop="1" thickBot="1">
      <c r="A41" s="449"/>
      <c r="B41" s="587" t="s">
        <v>221</v>
      </c>
      <c r="C41" s="1194">
        <f>SUM(C26:C40)</f>
        <v>263447</v>
      </c>
      <c r="D41" s="1181"/>
      <c r="E41" s="1212"/>
      <c r="F41" s="1190"/>
      <c r="G41" s="1190"/>
      <c r="H41" s="1190"/>
      <c r="I41" s="1190"/>
      <c r="J41" s="1190"/>
      <c r="K41" s="1190"/>
      <c r="L41" s="1190"/>
      <c r="M41" s="449"/>
    </row>
    <row r="42" spans="1:13" s="24" customFormat="1" ht="15.6" thickTop="1" thickBot="1">
      <c r="A42" s="449"/>
      <c r="B42" s="1204" t="s">
        <v>788</v>
      </c>
      <c r="C42" s="1190"/>
      <c r="D42" s="1190"/>
      <c r="E42" s="1190"/>
      <c r="F42" s="1190"/>
      <c r="G42" s="1190"/>
      <c r="H42" s="1190"/>
      <c r="I42" s="1190"/>
      <c r="J42" s="1190"/>
      <c r="K42" s="1190"/>
      <c r="L42" s="1190"/>
      <c r="M42" s="449"/>
    </row>
    <row r="43" spans="1:13" s="24" customFormat="1" ht="15.6" thickTop="1" thickBot="1">
      <c r="A43" s="449"/>
      <c r="B43" s="1205" t="s">
        <v>789</v>
      </c>
      <c r="C43" s="1190"/>
      <c r="D43" s="1190"/>
      <c r="E43" s="1190"/>
      <c r="F43" s="1190"/>
      <c r="G43" s="1190"/>
      <c r="H43" s="1190"/>
      <c r="I43" s="1190"/>
      <c r="J43" s="1190"/>
      <c r="K43" s="1190"/>
      <c r="L43" s="1190"/>
      <c r="M43" s="449"/>
    </row>
    <row r="44" spans="1:13" s="24" customFormat="1" ht="15.6" thickTop="1" thickBot="1">
      <c r="A44" s="449"/>
      <c r="B44" s="1208" t="s">
        <v>781</v>
      </c>
      <c r="C44" s="1208" t="s">
        <v>790</v>
      </c>
      <c r="D44" s="1207"/>
      <c r="E44" s="1208" t="s">
        <v>791</v>
      </c>
      <c r="F44" s="1207"/>
      <c r="G44" s="1207"/>
      <c r="H44" s="1207"/>
      <c r="I44" s="1207"/>
      <c r="J44" s="1207"/>
      <c r="K44" s="1207"/>
      <c r="L44" s="1207"/>
      <c r="M44" s="449"/>
    </row>
    <row r="45" spans="1:13" s="24" customFormat="1" ht="32.1" customHeight="1" thickTop="1" thickBot="1">
      <c r="A45" s="449"/>
      <c r="B45" s="1207"/>
      <c r="C45" s="1207"/>
      <c r="D45" s="1207"/>
      <c r="E45" s="1209" t="s">
        <v>792</v>
      </c>
      <c r="F45" s="1207"/>
      <c r="G45" s="1209" t="s">
        <v>793</v>
      </c>
      <c r="H45" s="1207"/>
      <c r="I45" s="1209" t="s">
        <v>794</v>
      </c>
      <c r="J45" s="1207"/>
      <c r="K45" s="1209" t="s">
        <v>795</v>
      </c>
      <c r="L45" s="1207"/>
      <c r="M45" s="449"/>
    </row>
    <row r="46" spans="1:13" s="24" customFormat="1" ht="15.6" thickTop="1" thickBot="1">
      <c r="A46" s="449"/>
      <c r="B46" s="584">
        <v>1</v>
      </c>
      <c r="C46" s="1213">
        <v>6000</v>
      </c>
      <c r="D46" s="1190"/>
      <c r="E46" s="1202"/>
      <c r="F46" s="1190"/>
      <c r="G46" s="1214"/>
      <c r="H46" s="1190"/>
      <c r="I46" s="1215"/>
      <c r="J46" s="1190"/>
      <c r="K46" s="1214"/>
      <c r="L46" s="1190"/>
      <c r="M46" s="449"/>
    </row>
    <row r="47" spans="1:13" s="24" customFormat="1" ht="15.6" thickTop="1" thickBot="1">
      <c r="A47" s="449"/>
      <c r="B47" s="584">
        <v>2</v>
      </c>
      <c r="C47" s="1213"/>
      <c r="D47" s="1190"/>
      <c r="E47" s="1202"/>
      <c r="F47" s="1190"/>
      <c r="G47" s="1214"/>
      <c r="H47" s="1190"/>
      <c r="I47" s="1215"/>
      <c r="J47" s="1190"/>
      <c r="K47" s="1214"/>
      <c r="L47" s="1190"/>
      <c r="M47" s="449"/>
    </row>
    <row r="48" spans="1:13" s="24" customFormat="1" ht="15.6" thickTop="1" thickBot="1">
      <c r="A48" s="449"/>
      <c r="B48" s="584">
        <v>3</v>
      </c>
      <c r="C48" s="1213"/>
      <c r="D48" s="1190"/>
      <c r="E48" s="1202"/>
      <c r="F48" s="1190"/>
      <c r="G48" s="1214"/>
      <c r="H48" s="1190"/>
      <c r="I48" s="1215"/>
      <c r="J48" s="1190"/>
      <c r="K48" s="1214"/>
      <c r="L48" s="1190"/>
      <c r="M48" s="449"/>
    </row>
    <row r="49" spans="1:13" s="24" customFormat="1" ht="15.6" thickTop="1" thickBot="1">
      <c r="A49" s="449"/>
      <c r="B49" s="584">
        <v>4</v>
      </c>
      <c r="C49" s="1213"/>
      <c r="D49" s="1190"/>
      <c r="E49" s="1202"/>
      <c r="F49" s="1190"/>
      <c r="G49" s="1214"/>
      <c r="H49" s="1190"/>
      <c r="I49" s="1215"/>
      <c r="J49" s="1190"/>
      <c r="K49" s="1214"/>
      <c r="L49" s="1190"/>
      <c r="M49" s="449"/>
    </row>
    <row r="50" spans="1:13" s="24" customFormat="1" ht="15.6" thickTop="1" thickBot="1">
      <c r="A50" s="449"/>
      <c r="B50" s="584">
        <v>5</v>
      </c>
      <c r="C50" s="1213"/>
      <c r="D50" s="1190"/>
      <c r="E50" s="1202"/>
      <c r="F50" s="1190"/>
      <c r="G50" s="1214"/>
      <c r="H50" s="1190"/>
      <c r="I50" s="1215"/>
      <c r="J50" s="1190"/>
      <c r="K50" s="1214"/>
      <c r="L50" s="1190"/>
      <c r="M50" s="449"/>
    </row>
    <row r="51" spans="1:13" s="24" customFormat="1" ht="15.6" thickTop="1" thickBot="1">
      <c r="A51" s="449"/>
      <c r="B51" s="584">
        <v>6</v>
      </c>
      <c r="C51" s="1213"/>
      <c r="D51" s="1190"/>
      <c r="E51" s="1202"/>
      <c r="F51" s="1190"/>
      <c r="G51" s="1214"/>
      <c r="H51" s="1190"/>
      <c r="I51" s="1215"/>
      <c r="J51" s="1190"/>
      <c r="K51" s="1214"/>
      <c r="L51" s="1190"/>
      <c r="M51" s="449"/>
    </row>
    <row r="52" spans="1:13" s="24" customFormat="1" ht="15.6" thickTop="1" thickBot="1">
      <c r="A52" s="449"/>
      <c r="B52" s="584">
        <v>7</v>
      </c>
      <c r="C52" s="1213"/>
      <c r="D52" s="1190"/>
      <c r="E52" s="1202"/>
      <c r="F52" s="1190"/>
      <c r="G52" s="1214"/>
      <c r="H52" s="1190"/>
      <c r="I52" s="1215"/>
      <c r="J52" s="1190"/>
      <c r="K52" s="1214"/>
      <c r="L52" s="1190"/>
      <c r="M52" s="449"/>
    </row>
    <row r="53" spans="1:13" s="24" customFormat="1" ht="15.6" thickTop="1" thickBot="1">
      <c r="A53" s="449"/>
      <c r="B53" s="584">
        <v>8</v>
      </c>
      <c r="C53" s="1213"/>
      <c r="D53" s="1190"/>
      <c r="E53" s="1202"/>
      <c r="F53" s="1190"/>
      <c r="G53" s="1214"/>
      <c r="H53" s="1190"/>
      <c r="I53" s="1215"/>
      <c r="J53" s="1190"/>
      <c r="K53" s="1214"/>
      <c r="L53" s="1190"/>
      <c r="M53" s="449"/>
    </row>
    <row r="54" spans="1:13" s="24" customFormat="1" ht="15.6" thickTop="1" thickBot="1">
      <c r="A54" s="449"/>
      <c r="B54" s="584">
        <v>9</v>
      </c>
      <c r="C54" s="1213"/>
      <c r="D54" s="1190"/>
      <c r="E54" s="1202"/>
      <c r="F54" s="1190"/>
      <c r="G54" s="1214"/>
      <c r="H54" s="1190"/>
      <c r="I54" s="1215"/>
      <c r="J54" s="1190"/>
      <c r="K54" s="1214"/>
      <c r="L54" s="1190"/>
      <c r="M54" s="449"/>
    </row>
    <row r="55" spans="1:13" s="24" customFormat="1" ht="15.6" thickTop="1" thickBot="1">
      <c r="A55" s="449"/>
      <c r="B55" s="584">
        <v>10</v>
      </c>
      <c r="C55" s="1213"/>
      <c r="D55" s="1190"/>
      <c r="E55" s="1202"/>
      <c r="F55" s="1190"/>
      <c r="G55" s="1214"/>
      <c r="H55" s="1190"/>
      <c r="I55" s="1215"/>
      <c r="J55" s="1190"/>
      <c r="K55" s="1214"/>
      <c r="L55" s="1190"/>
      <c r="M55" s="449"/>
    </row>
    <row r="56" spans="1:13" s="24" customFormat="1" ht="15.6" thickTop="1" thickBot="1">
      <c r="A56" s="449"/>
      <c r="B56" s="584">
        <v>11</v>
      </c>
      <c r="C56" s="1213"/>
      <c r="D56" s="1190"/>
      <c r="E56" s="1202"/>
      <c r="F56" s="1190"/>
      <c r="G56" s="1214"/>
      <c r="H56" s="1190"/>
      <c r="I56" s="1215"/>
      <c r="J56" s="1190"/>
      <c r="K56" s="1214"/>
      <c r="L56" s="1190"/>
      <c r="M56" s="449"/>
    </row>
    <row r="57" spans="1:13" s="24" customFormat="1" ht="15.6" thickTop="1" thickBot="1">
      <c r="A57" s="449"/>
      <c r="B57" s="584">
        <v>12</v>
      </c>
      <c r="C57" s="1213"/>
      <c r="D57" s="1190"/>
      <c r="E57" s="1202"/>
      <c r="F57" s="1190"/>
      <c r="G57" s="1214"/>
      <c r="H57" s="1190"/>
      <c r="I57" s="1215"/>
      <c r="J57" s="1190"/>
      <c r="K57" s="1214"/>
      <c r="L57" s="1190"/>
      <c r="M57" s="449"/>
    </row>
    <row r="58" spans="1:13" s="24" customFormat="1" ht="15.6" thickTop="1" thickBot="1">
      <c r="A58" s="449"/>
      <c r="B58" s="584">
        <v>13</v>
      </c>
      <c r="C58" s="1213"/>
      <c r="D58" s="1190"/>
      <c r="E58" s="1202"/>
      <c r="F58" s="1190"/>
      <c r="G58" s="1214"/>
      <c r="H58" s="1190"/>
      <c r="I58" s="1215"/>
      <c r="J58" s="1190"/>
      <c r="K58" s="1214"/>
      <c r="L58" s="1190"/>
      <c r="M58" s="449"/>
    </row>
    <row r="59" spans="1:13" s="24" customFormat="1" ht="15.6" thickTop="1" thickBot="1">
      <c r="A59" s="449"/>
      <c r="B59" s="584">
        <v>14</v>
      </c>
      <c r="C59" s="1213"/>
      <c r="D59" s="1190"/>
      <c r="E59" s="1202"/>
      <c r="F59" s="1190"/>
      <c r="G59" s="1214"/>
      <c r="H59" s="1190"/>
      <c r="I59" s="1215"/>
      <c r="J59" s="1190"/>
      <c r="K59" s="1214"/>
      <c r="L59" s="1190"/>
      <c r="M59" s="449"/>
    </row>
    <row r="60" spans="1:13" s="24" customFormat="1" ht="15.6" thickTop="1" thickBot="1">
      <c r="A60" s="449"/>
      <c r="B60" s="584">
        <v>15</v>
      </c>
      <c r="C60" s="1213"/>
      <c r="D60" s="1190"/>
      <c r="E60" s="1202"/>
      <c r="F60" s="1190"/>
      <c r="G60" s="1214"/>
      <c r="H60" s="1190"/>
      <c r="I60" s="1215"/>
      <c r="J60" s="1190"/>
      <c r="K60" s="1214"/>
      <c r="L60" s="1190"/>
      <c r="M60" s="449"/>
    </row>
    <row r="61" spans="1:13" s="24" customFormat="1" ht="15.6" thickTop="1" thickBot="1">
      <c r="A61" s="449"/>
      <c r="B61" s="587" t="s">
        <v>221</v>
      </c>
      <c r="C61" s="1194">
        <f>SUM(C46:C60)</f>
        <v>6000</v>
      </c>
      <c r="D61" s="1181"/>
      <c r="E61" s="1212"/>
      <c r="F61" s="1190"/>
      <c r="G61" s="1190"/>
      <c r="H61" s="1190"/>
      <c r="I61" s="1190"/>
      <c r="J61" s="1190"/>
      <c r="K61" s="1190"/>
      <c r="L61" s="1190"/>
      <c r="M61" s="449"/>
    </row>
    <row r="62" spans="1:13" ht="15.6" thickTop="1" thickBot="1">
      <c r="A62" s="449"/>
      <c r="B62" s="1216" t="s">
        <v>744</v>
      </c>
      <c r="C62" s="1177"/>
      <c r="D62" s="1177"/>
      <c r="E62" s="1177"/>
      <c r="F62" s="1177"/>
      <c r="G62" s="1177"/>
      <c r="H62" s="1177"/>
      <c r="I62" s="1177"/>
      <c r="J62" s="1177"/>
      <c r="K62" s="1177"/>
      <c r="L62" s="1177"/>
      <c r="M62" s="449"/>
    </row>
    <row r="63" spans="1:13" ht="15" thickTop="1">
      <c r="A63" s="449"/>
      <c r="B63" s="576" t="s">
        <v>274</v>
      </c>
      <c r="C63" s="1217" t="str">
        <f>IF('Gen Info'!F9="","",'Gen Info'!F9)</f>
        <v>HANS RAJ JOSHI</v>
      </c>
      <c r="D63" s="1218"/>
      <c r="E63" s="1218"/>
      <c r="F63" s="538" t="s">
        <v>796</v>
      </c>
      <c r="G63" s="1217" t="str">
        <f>IF('Gen Info'!F10="","",'Gen Info'!F10)</f>
        <v/>
      </c>
      <c r="H63" s="1218"/>
      <c r="I63" s="1218"/>
      <c r="J63" s="1218"/>
      <c r="K63" s="1219" t="s">
        <v>797</v>
      </c>
      <c r="L63" s="1220"/>
      <c r="M63" s="449"/>
    </row>
    <row r="64" spans="1:13" ht="14.55" customHeight="1">
      <c r="A64" s="449"/>
      <c r="B64" s="1221" t="s">
        <v>798</v>
      </c>
      <c r="C64" s="1183"/>
      <c r="D64" s="1217" t="str">
        <f>IF('Gen Info'!F11="","",'Gen Info'!F11)</f>
        <v/>
      </c>
      <c r="E64" s="1217"/>
      <c r="F64" s="1217"/>
      <c r="G64" s="1219" t="s">
        <v>799</v>
      </c>
      <c r="H64" s="1183"/>
      <c r="I64" s="1183"/>
      <c r="J64" s="1183"/>
      <c r="K64" s="1183"/>
      <c r="L64" s="1220"/>
      <c r="M64" s="449"/>
    </row>
    <row r="65" spans="1:13">
      <c r="A65" s="449"/>
      <c r="B65" s="577" t="s">
        <v>800</v>
      </c>
      <c r="C65" s="591">
        <f>J21</f>
        <v>196000</v>
      </c>
      <c r="D65" s="1217" t="str">
        <f>IF(OR(LEN(FLOOR(C65,1))=13,FLOOR(C65,1)&lt;=0),"Out of range",PROPER(SUBSTITUTE(CONCATENATE(CHOOSE(MID(TEXT(INT(C65),REPT(0,12)),1,1)+1,"","one hundred ","two hundred ","three hundred ","four hundred ","five hundred ","six hundred ","seven hundred ","eight hundred ","nine hundred "),CHOOSE(MID(TEXT(INT(C65),REPT(0,12)),2,1)+1,"",CHOOSE(MID(TEXT(INT(C65),REPT(0,12)),3,1)+1,"ten","eleven","twelve","thirteen","fourteen","fifteen","sixteen","seventeen","eighteen","nineteen"),"twenty","thirty","forty","fifty","sixty","seventy","eighty","ninety"),IF(VALUE(MID(TEXT(INT(C65),REPT(0,12)),2,1))&gt;1,CHOOSE(MID(TEXT(INT(C65),REPT(0,12)),3,1)+1,"","-one","-two","-three","-four","-five","-six","-seven","-eight","-nine"),IF(VALUE(MID(TEXT(INT(C65),REPT(0,12)),2,1))=0,CHOOSE(MID(TEXT(INT(C65),REPT(0,12)),3,1)+1,"","one","two","three","four","five","six","seven","eight","nine"),"")),IF(C65&gt;=10^9," billion ",""),CHOOSE(MID(TEXT(INT(C65),REPT(0,12)),4,1)+1,"","one hundred ","two hundred ","three hundred ","four hundred ","five hundred ","six hundred ","seven hundred ","eight hundred ","nine hundred "),CHOOSE(MID(TEXT(INT(C65),REPT(0,12)),5,1)+1,"",CHOOSE(MID(TEXT(INT(C65),REPT(0,12)),6,1)+1,"ten","eleven","twelve","thirteen","fourteen","fifteen","sixteen","seventeen","eighteen","nineteen"),"twenty","thirty","forty","fifty","sixty","seventy","eighty","ninety"),IF(VALUE(MID(TEXT(INT(C65),REPT(0,12)),5,1))&gt;1,CHOOSE(MID(TEXT(INT(C65),REPT(0,12)),6,1)+1,"","-one","-two","-three","-four","-five","-six","-seven","-eight","-nine"),IF(VALUE(MID(TEXT(INT(C65),REPT(0,12)),5,1))=0,CHOOSE(MID(TEXT(INT(C65),REPT(0,12)),6,1)+1,"","one","two","three","four","five","six","seven","eight","nine"),"")),IF(VALUE(MID(TEXT(INT(C65),REPT(0,12)),4,3))&gt;0," million ",""),CHOOSE(MID(TEXT(INT(C65),REPT(0,12)),7,1)+1,"","one hundred ","two hundred ","three hundred ","four hundred ","five hundred ","six hundred ","seven hundred ","eight hundred ","nine hundred "),CHOOSE(MID(TEXT(INT(C65),REPT(0,12)),8,1)+1,"",CHOOSE(MID(TEXT(INT(C65),REPT(0,12)),9,1)+1,"ten","eleven","twelve","thirteen","fourteen","fifteen","sixteen","seventeen","eighteen","nineteen"),"twenty","thirty","forty","fifty","sixty","seventy","eighty","ninety"),IF(VALUE(MID(TEXT(INT(C65),REPT(0,12)),8,1))&gt;1,CHOOSE(MID(TEXT(INT(C65),REPT(0,12)),9,1)+1,"","-one","-two","-three","-four","-five","-six","-seven","-eight","-nine"),IF(VALUE(MID(TEXT(INT(C65),REPT(0,12)),8,1))=0,CHOOSE(MID(TEXT(INT(C65),REPT(0,12)),9,1)+1,"","one","two","three","four","five","six","seven","eight","nine"),"")),IF(VALUE(MID(TEXT(INT(C65),REPT(0,12)),7,3))," thousand ",""),CHOOSE(MID(TEXT(INT(C65),REPT(0,12)),10,1)+1,"","one hundred ","two hundred ","three hundred ","four hundred ","five hundred ","six hundred ","seven hundred ","eight hundred ","nine hundred "),CHOOSE(MID(TEXT(INT(C65),REPT(0,12)),11,1)+1,"",CHOOSE(MID(TEXT(INT(C65),REPT(0,12)),12,1)+1,"ten","eleven","twelve","thirteen","fourteen","fifteen","sixteen","seventeen","eighteen","nineteen"),"twenty","thirty","forty","fifty","sixty","seventy","eighty","ninety"),IF(VALUE(MID(TEXT(INT(C65),REPT(0,12)),11,1))&gt;1,CHOOSE(MID(TEXT(INT(C65),REPT(0,12)),12,1)+1,"","-one","-two","-three","-four","-five","-six","-seven","-eight","-nine"),IF(VALUE(MID(TEXT(INT(C65),REPT(0,12)),11,1))=0,CHOOSE(MID(TEXT(INT(C65),REPT(0,12)),12,1)+1,"","one","two","three","four","five","six","seven","eight","nine"),""))),"  "," ")&amp;IF(FLOOR(C65,1)&gt;1," Rupees"," dollar"))&amp;IF(ISERROR(FIND(".",C65,1)),""," and "&amp;PROPER(IF(LEN(LEFT(TRIM(MID(SUBSTITUTE(Sheet1!$B$5,".",REPT(" ",255)),255,200)),2))=1,CHOOSE(1*LEFT(TRIM(MID(SUBSTITUTE(Sheet1!$B$5,".",REPT(" ",255)),255,200)),2),"ten","twenty","thirty","forty","fifty","sixty","seventy","eighty","ninety")&amp;" cents","")&amp;CONCATENATE(CHOOSE(MID(TEXT(INT(LEFT(TRIM(MID(SUBSTITUTE(Sheet1!$B$5,".",REPT(" ",255)),255,200)),2)),REPT(0,12)),11,1)+1,"",CHOOSE(MID(TEXT(INT(LEFT(TRIM(MID(SUBSTITUTE(Sheet1!$B$5,".",REPT(" ",255)),255,200)),2)),REPT(0,12)),12,1)+1,"ten","eleven","twelve","thirteen","fourteen","fifteen","sixteen","seventeen","eighteen","nineteen"),"twenty","thirty","forty","fifty","sixty","seventy","eighty","ninety"),IF(VALUE(MID(TEXT(INT(LEFT(TRIM(MID(SUBSTITUTE(Sheet1!$B$5,".",REPT(" ",255)),255,200)),2)),REPT(0,12)),11,1))&gt;1,CHOOSE(MID(TEXT(INT(LEFT(TRIM(MID(SUBSTITUTE(Sheet1!$B$5,".",REPT(" ",255)),255,200)),2)),REPT(0,12)),12,1)+1,"","-one","-two","-three","-four","-five","-six","-seven","-eight","-nine")&amp;" cents",IF(LEFT(TRIM(MID(SUBSTITUTE(Sheet1!$B$5,".",REPT(" ",255)),255,200)),2)="01","one cent",IF(LEFT(TRIM(MID(SUBSTITUTE(Sheet1!$B$5,".",REPT(" ",255)),255,200)),1)="0",CHOOSE(MID(TEXT(INT(LEFT(TRIM(MID(SUBSTITUTE(Sheet1!$B$5,".",REPT(" ",255)),255,200)),2)),REPT(0,12)),12,1)+1,"","one","two","three","four","five","six","seven","eight","nine")&amp;" cents","")))))))</f>
        <v>One Hundred Ninety-Six Thousand  Rupees</v>
      </c>
      <c r="E65" s="1218"/>
      <c r="F65" s="1218"/>
      <c r="G65" s="1218"/>
      <c r="H65" s="1218"/>
      <c r="I65" s="1228" t="s">
        <v>801</v>
      </c>
      <c r="J65" s="1183"/>
      <c r="K65" s="1183"/>
      <c r="L65" s="1220"/>
      <c r="M65" s="449"/>
    </row>
    <row r="66" spans="1:13">
      <c r="A66" s="449"/>
      <c r="B66" s="1229" t="s">
        <v>802</v>
      </c>
      <c r="C66" s="1183"/>
      <c r="D66" s="1183"/>
      <c r="E66" s="1183"/>
      <c r="F66" s="1183"/>
      <c r="G66" s="1183"/>
      <c r="H66" s="1183"/>
      <c r="I66" s="1183"/>
      <c r="J66" s="1183"/>
      <c r="K66" s="1183"/>
      <c r="L66" s="1220"/>
      <c r="M66" s="449"/>
    </row>
    <row r="67" spans="1:13" ht="15" thickBot="1">
      <c r="A67" s="449"/>
      <c r="B67" s="1229" t="s">
        <v>803</v>
      </c>
      <c r="C67" s="1183"/>
      <c r="D67" s="1183"/>
      <c r="E67" s="1183"/>
      <c r="F67" s="1183"/>
      <c r="G67" s="1183"/>
      <c r="H67" s="1183"/>
      <c r="I67" s="1183"/>
      <c r="J67" s="1183"/>
      <c r="K67" s="1183"/>
      <c r="L67" s="1220"/>
      <c r="M67" s="449"/>
    </row>
    <row r="68" spans="1:13" ht="15.6" thickTop="1" thickBot="1">
      <c r="A68" s="449"/>
      <c r="B68" s="1187" t="s">
        <v>804</v>
      </c>
      <c r="C68" s="1177"/>
      <c r="D68" s="1230"/>
      <c r="E68" s="1190"/>
      <c r="F68" s="1222"/>
      <c r="G68" s="1183"/>
      <c r="H68" s="1183"/>
      <c r="I68" s="1183"/>
      <c r="J68" s="1183"/>
      <c r="K68" s="1183"/>
      <c r="L68" s="1220"/>
      <c r="M68" s="449"/>
    </row>
    <row r="69" spans="1:13" ht="15.6" thickTop="1" thickBot="1">
      <c r="A69" s="449"/>
      <c r="B69" s="1187" t="s">
        <v>805</v>
      </c>
      <c r="C69" s="1177"/>
      <c r="D69" s="1230"/>
      <c r="E69" s="1190"/>
      <c r="F69" s="1222" t="s">
        <v>806</v>
      </c>
      <c r="G69" s="1183"/>
      <c r="H69" s="1183"/>
      <c r="I69" s="1183"/>
      <c r="J69" s="1183"/>
      <c r="K69" s="1183"/>
      <c r="L69" s="1220"/>
      <c r="M69" s="449"/>
    </row>
    <row r="70" spans="1:13" ht="14.55" customHeight="1" thickTop="1">
      <c r="A70" s="449"/>
      <c r="B70" s="1223" t="s">
        <v>266</v>
      </c>
      <c r="C70" s="1183"/>
      <c r="D70" s="1224" t="str">
        <f>IF('Gen Info'!F11="","",'Gen Info'!F11)</f>
        <v/>
      </c>
      <c r="E70" s="1224"/>
      <c r="F70" s="554" t="s">
        <v>807</v>
      </c>
      <c r="G70" s="1225" t="str">
        <f>IF('Gen Info'!F9="","",'Gen Info'!F9)</f>
        <v>HANS RAJ JOSHI</v>
      </c>
      <c r="H70" s="1218"/>
      <c r="I70" s="1218"/>
      <c r="J70" s="1218"/>
      <c r="K70" s="1218"/>
      <c r="L70" s="1226"/>
      <c r="M70" s="449"/>
    </row>
    <row r="71" spans="1:13" ht="15" thickBot="1">
      <c r="A71" s="449"/>
      <c r="B71" s="1227" t="s">
        <v>808</v>
      </c>
      <c r="C71" s="1183"/>
      <c r="D71" s="1183"/>
      <c r="E71" s="1183"/>
      <c r="F71" s="1183"/>
      <c r="G71" s="1183"/>
      <c r="H71" s="1183"/>
      <c r="I71" s="1183"/>
      <c r="J71" s="1183"/>
      <c r="K71" s="1183"/>
      <c r="L71" s="1220"/>
      <c r="M71" s="449"/>
    </row>
    <row r="72" spans="1:13" ht="15.6" thickTop="1" thickBot="1">
      <c r="A72" s="449"/>
      <c r="B72" s="1191" t="s">
        <v>745</v>
      </c>
      <c r="C72" s="1177"/>
      <c r="D72" s="1177"/>
      <c r="E72" s="1177"/>
      <c r="F72" s="1177"/>
      <c r="G72" s="1177"/>
      <c r="H72" s="1177"/>
      <c r="I72" s="1177"/>
      <c r="J72" s="1177"/>
      <c r="K72" s="1177"/>
      <c r="L72" s="1177"/>
      <c r="M72" s="449"/>
    </row>
    <row r="73" spans="1:13" ht="15.6" thickTop="1" thickBot="1">
      <c r="A73" s="449"/>
      <c r="B73" s="1134" t="s">
        <v>809</v>
      </c>
      <c r="C73" s="1177"/>
      <c r="D73" s="1177"/>
      <c r="E73" s="1177"/>
      <c r="F73" s="1177"/>
      <c r="G73" s="1235"/>
      <c r="H73" s="1179"/>
      <c r="I73" s="1236"/>
      <c r="J73" s="1179"/>
      <c r="K73" s="1237"/>
      <c r="L73" s="1179"/>
      <c r="M73" s="449"/>
    </row>
    <row r="74" spans="1:13" ht="15.6" thickTop="1" thickBot="1">
      <c r="A74" s="449"/>
      <c r="B74" s="1135" t="s">
        <v>810</v>
      </c>
      <c r="C74" s="1233"/>
      <c r="D74" s="1233"/>
      <c r="E74" s="1233"/>
      <c r="F74" s="1233"/>
      <c r="G74" s="1238">
        <f>Assesment!N5</f>
        <v>794000</v>
      </c>
      <c r="H74" s="1181"/>
      <c r="I74" s="1179"/>
      <c r="J74" s="1179"/>
      <c r="K74" s="1179"/>
      <c r="L74" s="1179"/>
      <c r="M74" s="449"/>
    </row>
    <row r="75" spans="1:13" ht="15.6" thickTop="1" thickBot="1">
      <c r="A75" s="449"/>
      <c r="B75" s="1239" t="s">
        <v>811</v>
      </c>
      <c r="C75" s="1233"/>
      <c r="D75" s="1233"/>
      <c r="E75" s="1233"/>
      <c r="F75" s="1233"/>
      <c r="G75" s="1180">
        <f>Assesment!H6</f>
        <v>0</v>
      </c>
      <c r="H75" s="1181"/>
      <c r="I75" s="1179"/>
      <c r="J75" s="1179"/>
      <c r="K75" s="1179"/>
      <c r="L75" s="1179"/>
      <c r="M75" s="449"/>
    </row>
    <row r="76" spans="1:13" ht="15.6" thickTop="1" thickBot="1">
      <c r="A76" s="449"/>
      <c r="B76" s="1240" t="s">
        <v>812</v>
      </c>
      <c r="C76" s="1233"/>
      <c r="D76" s="1233"/>
      <c r="E76" s="1233"/>
      <c r="F76" s="1233"/>
      <c r="G76" s="1180">
        <f>Assesment!N6</f>
        <v>0</v>
      </c>
      <c r="H76" s="1181"/>
      <c r="I76" s="1179"/>
      <c r="J76" s="1179"/>
      <c r="K76" s="1179"/>
      <c r="L76" s="1179"/>
      <c r="M76" s="449"/>
    </row>
    <row r="77" spans="1:13" ht="14.55" customHeight="1" thickTop="1" thickBot="1">
      <c r="A77" s="449"/>
      <c r="B77" s="1134" t="s">
        <v>813</v>
      </c>
      <c r="C77" s="1134"/>
      <c r="D77" s="1134"/>
      <c r="E77" s="1134"/>
      <c r="F77" s="1134"/>
      <c r="G77" s="1134"/>
      <c r="H77" s="1134"/>
      <c r="I77" s="1231">
        <f>G74+G75+G76</f>
        <v>794000</v>
      </c>
      <c r="J77" s="1181"/>
      <c r="K77" s="1179"/>
      <c r="L77" s="1179"/>
      <c r="M77" s="449"/>
    </row>
    <row r="78" spans="1:13" ht="15.6" thickTop="1" thickBot="1">
      <c r="A78" s="449"/>
      <c r="B78" s="1232" t="s">
        <v>814</v>
      </c>
      <c r="C78" s="1233"/>
      <c r="D78" s="1233"/>
      <c r="E78" s="1233"/>
      <c r="F78" s="1177"/>
      <c r="G78" s="1234">
        <v>0</v>
      </c>
      <c r="H78" s="1177"/>
      <c r="I78" s="1231">
        <f>I77+G78</f>
        <v>794000</v>
      </c>
      <c r="J78" s="1181"/>
      <c r="K78" s="1179"/>
      <c r="L78" s="1179"/>
      <c r="M78" s="449"/>
    </row>
    <row r="79" spans="1:13" ht="15.6" customHeight="1" thickTop="1" thickBot="1">
      <c r="A79" s="449"/>
      <c r="B79" s="1242" t="s">
        <v>815</v>
      </c>
      <c r="C79" s="1243"/>
      <c r="D79" s="1243"/>
      <c r="E79" s="1243"/>
      <c r="F79" s="1243"/>
      <c r="G79" s="1168"/>
      <c r="H79" s="1169"/>
      <c r="I79" s="1244"/>
      <c r="J79" s="1179"/>
      <c r="K79" s="1179"/>
      <c r="L79" s="1179"/>
      <c r="M79" s="449"/>
    </row>
    <row r="80" spans="1:13" ht="15.6" thickTop="1" thickBot="1">
      <c r="A80" s="449"/>
      <c r="B80" s="1176" t="s">
        <v>816</v>
      </c>
      <c r="C80" s="1177"/>
      <c r="D80" s="1177"/>
      <c r="E80" s="1176" t="s">
        <v>800</v>
      </c>
      <c r="F80" s="1177"/>
      <c r="G80" s="1170"/>
      <c r="H80" s="1171"/>
      <c r="I80" s="1179"/>
      <c r="J80" s="1179"/>
      <c r="K80" s="1179"/>
      <c r="L80" s="1179"/>
      <c r="M80" s="449"/>
    </row>
    <row r="81" spans="1:13" ht="15.6" thickTop="1" thickBot="1">
      <c r="A81" s="449"/>
      <c r="B81" s="1176" t="s">
        <v>817</v>
      </c>
      <c r="C81" s="1177"/>
      <c r="D81" s="1177"/>
      <c r="E81" s="1174">
        <f>HRA!J5</f>
        <v>0</v>
      </c>
      <c r="F81" s="1175"/>
      <c r="G81" s="1172"/>
      <c r="H81" s="1173"/>
      <c r="I81" s="1179"/>
      <c r="J81" s="1179"/>
      <c r="K81" s="1179"/>
      <c r="L81" s="1179"/>
      <c r="M81" s="449"/>
    </row>
    <row r="82" spans="1:13" ht="15.6" thickTop="1" thickBot="1">
      <c r="A82" s="449"/>
      <c r="B82" s="1178" t="s">
        <v>905</v>
      </c>
      <c r="C82" s="1179"/>
      <c r="D82" s="1179"/>
      <c r="E82" s="1174">
        <f>IF('Pay &amp; Allowances'!H12="",0,'Pay &amp; Allowances'!H12)</f>
        <v>0</v>
      </c>
      <c r="F82" s="1175"/>
      <c r="G82" s="1180">
        <f>E81+E82</f>
        <v>0</v>
      </c>
      <c r="H82" s="1181"/>
      <c r="I82" s="1179"/>
      <c r="J82" s="1179"/>
      <c r="K82" s="1179"/>
      <c r="L82" s="1179"/>
      <c r="M82" s="449"/>
    </row>
    <row r="83" spans="1:13" ht="14.55" customHeight="1" thickTop="1" thickBot="1">
      <c r="A83" s="449"/>
      <c r="B83" s="1134" t="s">
        <v>818</v>
      </c>
      <c r="C83" s="1134"/>
      <c r="D83" s="1134"/>
      <c r="E83" s="1134"/>
      <c r="F83" s="1134"/>
      <c r="G83" s="1134"/>
      <c r="H83" s="1134"/>
      <c r="I83" s="1231">
        <f>I78-G82</f>
        <v>794000</v>
      </c>
      <c r="J83" s="1181"/>
      <c r="K83" s="1179"/>
      <c r="L83" s="1179"/>
      <c r="M83" s="449"/>
    </row>
    <row r="84" spans="1:13" ht="15.6" thickTop="1" thickBot="1">
      <c r="A84" s="449"/>
      <c r="B84" s="1135" t="s">
        <v>819</v>
      </c>
      <c r="C84" s="1233"/>
      <c r="D84" s="1233"/>
      <c r="E84" s="1233"/>
      <c r="F84" s="1233"/>
      <c r="G84" s="1238">
        <f>Assesment!M11</f>
        <v>50000</v>
      </c>
      <c r="H84" s="1181"/>
      <c r="I84" s="1150"/>
      <c r="J84" s="1151"/>
      <c r="K84" s="1179"/>
      <c r="L84" s="1179"/>
      <c r="M84" s="449"/>
    </row>
    <row r="85" spans="1:13" ht="15.6" thickTop="1" thickBot="1">
      <c r="A85" s="449"/>
      <c r="B85" s="1241" t="s">
        <v>747</v>
      </c>
      <c r="C85" s="1233"/>
      <c r="D85" s="1135" t="s">
        <v>820</v>
      </c>
      <c r="E85" s="1233"/>
      <c r="F85" s="1233"/>
      <c r="G85" s="1238">
        <f>Assesment!M9</f>
        <v>0</v>
      </c>
      <c r="H85" s="1181"/>
      <c r="I85" s="1152"/>
      <c r="J85" s="1153"/>
      <c r="K85" s="1179"/>
      <c r="L85" s="1179"/>
      <c r="M85" s="449"/>
    </row>
    <row r="86" spans="1:13" ht="15.6" thickTop="1" thickBot="1">
      <c r="A86" s="449"/>
      <c r="B86" s="1241" t="s">
        <v>748</v>
      </c>
      <c r="C86" s="1233"/>
      <c r="D86" s="1135" t="s">
        <v>821</v>
      </c>
      <c r="E86" s="1233"/>
      <c r="F86" s="1233"/>
      <c r="G86" s="1238">
        <f>Assesment!M10</f>
        <v>0</v>
      </c>
      <c r="H86" s="1181"/>
      <c r="I86" s="1154"/>
      <c r="J86" s="1155"/>
      <c r="K86" s="1179"/>
      <c r="L86" s="1179"/>
      <c r="M86" s="449"/>
    </row>
    <row r="87" spans="1:13" ht="15.6" customHeight="1" thickTop="1" thickBot="1">
      <c r="A87" s="449"/>
      <c r="B87" s="1137" t="s">
        <v>902</v>
      </c>
      <c r="C87" s="1138"/>
      <c r="D87" s="1138"/>
      <c r="E87" s="1138"/>
      <c r="F87" s="1138"/>
      <c r="G87" s="1138"/>
      <c r="H87" s="1139"/>
      <c r="I87" s="1180">
        <f>G84+G85+G86</f>
        <v>50000</v>
      </c>
      <c r="J87" s="1181"/>
      <c r="K87" s="1179"/>
      <c r="L87" s="1179"/>
      <c r="M87" s="449"/>
    </row>
    <row r="88" spans="1:13" ht="14.55" customHeight="1" thickTop="1" thickBot="1">
      <c r="A88" s="449"/>
      <c r="B88" s="1134" t="s">
        <v>822</v>
      </c>
      <c r="C88" s="1134"/>
      <c r="D88" s="1134"/>
      <c r="E88" s="1134"/>
      <c r="F88" s="1134"/>
      <c r="G88" s="1134"/>
      <c r="H88" s="1134"/>
      <c r="I88" s="1134"/>
      <c r="J88" s="1134"/>
      <c r="K88" s="1245">
        <f>IF(I83&gt;I87,I83-I87,0)</f>
        <v>744000</v>
      </c>
      <c r="L88" s="1181"/>
      <c r="M88" s="449"/>
    </row>
    <row r="89" spans="1:13" ht="15.6" customHeight="1" thickTop="1" thickBot="1">
      <c r="A89" s="449"/>
      <c r="B89" s="1140" t="s">
        <v>823</v>
      </c>
      <c r="C89" s="1141"/>
      <c r="D89" s="1141"/>
      <c r="E89" s="1141"/>
      <c r="F89" s="1141"/>
      <c r="G89" s="1141"/>
      <c r="H89" s="1141"/>
      <c r="I89" s="1141"/>
      <c r="J89" s="1142"/>
      <c r="K89" s="1237"/>
      <c r="L89" s="1179"/>
      <c r="M89" s="449"/>
    </row>
    <row r="90" spans="1:13" ht="15.6" thickTop="1" thickBot="1">
      <c r="A90" s="449"/>
      <c r="B90" s="1187" t="s">
        <v>824</v>
      </c>
      <c r="C90" s="1177"/>
      <c r="D90" s="1177"/>
      <c r="E90" s="1177"/>
      <c r="F90" s="581" t="s">
        <v>800</v>
      </c>
      <c r="G90" s="1143"/>
      <c r="H90" s="1144"/>
      <c r="I90" s="1144"/>
      <c r="J90" s="1145"/>
      <c r="K90" s="1179"/>
      <c r="L90" s="1179"/>
      <c r="M90" s="449"/>
    </row>
    <row r="91" spans="1:13" ht="15.6" thickTop="1" thickBot="1">
      <c r="A91" s="449"/>
      <c r="B91" s="1176" t="s">
        <v>825</v>
      </c>
      <c r="C91" s="1177"/>
      <c r="D91" s="1177"/>
      <c r="E91" s="1177"/>
      <c r="F91" s="592">
        <f>Assesment!Q16</f>
        <v>-29000</v>
      </c>
      <c r="G91" s="1146"/>
      <c r="H91" s="1147"/>
      <c r="I91" s="1147"/>
      <c r="J91" s="1148"/>
      <c r="K91" s="1179"/>
      <c r="L91" s="1179"/>
      <c r="M91" s="449"/>
    </row>
    <row r="92" spans="1:13" ht="15.6" thickTop="1" thickBot="1">
      <c r="A92" s="449"/>
      <c r="B92" s="1176" t="s">
        <v>872</v>
      </c>
      <c r="C92" s="1177"/>
      <c r="D92" s="1177"/>
      <c r="E92" s="1177"/>
      <c r="F92" s="592">
        <f>SUM(Assesment!Q18:Q19)</f>
        <v>0</v>
      </c>
      <c r="G92" s="1149">
        <f>F91+F92</f>
        <v>-29000</v>
      </c>
      <c r="H92" s="1149"/>
      <c r="I92" s="1149"/>
      <c r="J92" s="1149"/>
      <c r="K92" s="1179"/>
      <c r="L92" s="1179"/>
      <c r="M92" s="449"/>
    </row>
    <row r="93" spans="1:13" ht="14.55" customHeight="1" thickTop="1" thickBot="1">
      <c r="A93" s="449"/>
      <c r="B93" s="1134" t="s">
        <v>826</v>
      </c>
      <c r="C93" s="1134"/>
      <c r="D93" s="1134"/>
      <c r="E93" s="1134"/>
      <c r="F93" s="1134"/>
      <c r="G93" s="1134"/>
      <c r="H93" s="1134"/>
      <c r="I93" s="1134"/>
      <c r="J93" s="1134"/>
      <c r="K93" s="1245">
        <f>K88+G92</f>
        <v>715000</v>
      </c>
      <c r="L93" s="1181"/>
      <c r="M93" s="449"/>
    </row>
    <row r="94" spans="1:13" ht="14.55" customHeight="1" thickTop="1" thickBot="1">
      <c r="A94" s="449"/>
      <c r="B94" s="1134" t="s">
        <v>827</v>
      </c>
      <c r="C94" s="1134"/>
      <c r="D94" s="1134"/>
      <c r="E94" s="1134"/>
      <c r="F94" s="1134"/>
      <c r="G94" s="1134"/>
      <c r="H94" s="1134"/>
      <c r="I94" s="1134"/>
      <c r="J94" s="1134"/>
      <c r="K94" s="1134"/>
      <c r="L94" s="1134"/>
      <c r="M94" s="449"/>
    </row>
    <row r="95" spans="1:13" ht="14.55" customHeight="1" thickTop="1" thickBot="1">
      <c r="A95" s="449"/>
      <c r="B95" s="1135" t="s">
        <v>828</v>
      </c>
      <c r="C95" s="1135"/>
      <c r="D95" s="1135"/>
      <c r="E95" s="1135"/>
      <c r="F95" s="1135"/>
      <c r="G95" s="1135"/>
      <c r="H95" s="1135"/>
      <c r="I95" s="1135"/>
      <c r="J95" s="1135"/>
      <c r="K95" s="1135"/>
      <c r="L95" s="1135"/>
      <c r="M95" s="449"/>
    </row>
    <row r="96" spans="1:13" ht="17.55" customHeight="1" thickTop="1" thickBot="1">
      <c r="A96" s="449"/>
      <c r="B96" s="1248" t="s">
        <v>829</v>
      </c>
      <c r="C96" s="1193"/>
      <c r="D96" s="1193"/>
      <c r="E96" s="1193"/>
      <c r="F96" s="1193"/>
      <c r="G96" s="1249"/>
      <c r="H96" s="1193"/>
      <c r="I96" s="1247" t="s">
        <v>746</v>
      </c>
      <c r="J96" s="1193"/>
      <c r="K96" s="1247" t="s">
        <v>830</v>
      </c>
      <c r="L96" s="1193"/>
      <c r="M96" s="449"/>
    </row>
    <row r="97" spans="1:13" ht="15.6" thickTop="1" thickBot="1">
      <c r="A97" s="449"/>
      <c r="B97" s="1239" t="s">
        <v>831</v>
      </c>
      <c r="C97" s="1177"/>
      <c r="D97" s="1177"/>
      <c r="E97" s="1177"/>
      <c r="F97" s="1177"/>
      <c r="G97" s="1246">
        <f>Assesment!I28</f>
        <v>0</v>
      </c>
      <c r="H97" s="1181"/>
      <c r="I97" s="1162"/>
      <c r="J97" s="1163"/>
      <c r="K97" s="1156"/>
      <c r="L97" s="1157"/>
      <c r="M97" s="449"/>
    </row>
    <row r="98" spans="1:13" ht="15.6" thickTop="1" thickBot="1">
      <c r="A98" s="449"/>
      <c r="B98" s="1239" t="s">
        <v>832</v>
      </c>
      <c r="C98" s="1233"/>
      <c r="D98" s="1233"/>
      <c r="E98" s="1233"/>
      <c r="F98" s="1233"/>
      <c r="G98" s="1246">
        <f>Assesment!I23</f>
        <v>84000</v>
      </c>
      <c r="H98" s="1181"/>
      <c r="I98" s="1164"/>
      <c r="J98" s="1165"/>
      <c r="K98" s="1158"/>
      <c r="L98" s="1159"/>
      <c r="M98" s="449"/>
    </row>
    <row r="99" spans="1:13" ht="15.6" thickTop="1" thickBot="1">
      <c r="A99" s="449"/>
      <c r="B99" s="1239" t="s">
        <v>833</v>
      </c>
      <c r="C99" s="1233"/>
      <c r="D99" s="1233"/>
      <c r="E99" s="1233"/>
      <c r="F99" s="1233"/>
      <c r="G99" s="1246">
        <f>Assesment!I24+Assesment!I30+Assesment!O29</f>
        <v>19628</v>
      </c>
      <c r="H99" s="1181"/>
      <c r="I99" s="1164"/>
      <c r="J99" s="1165"/>
      <c r="K99" s="1158"/>
      <c r="L99" s="1159"/>
      <c r="M99" s="449"/>
    </row>
    <row r="100" spans="1:13" ht="15.6" thickTop="1" thickBot="1">
      <c r="A100" s="449"/>
      <c r="B100" s="1239" t="s">
        <v>834</v>
      </c>
      <c r="C100" s="1233"/>
      <c r="D100" s="1233"/>
      <c r="E100" s="1233"/>
      <c r="F100" s="1233"/>
      <c r="G100" s="1246">
        <f>Assesment!I29</f>
        <v>2100</v>
      </c>
      <c r="H100" s="1181"/>
      <c r="I100" s="1164"/>
      <c r="J100" s="1165"/>
      <c r="K100" s="1158"/>
      <c r="L100" s="1159"/>
      <c r="M100" s="449"/>
    </row>
    <row r="101" spans="1:13" ht="15.6" thickTop="1" thickBot="1">
      <c r="A101" s="449"/>
      <c r="B101" s="1239" t="s">
        <v>835</v>
      </c>
      <c r="C101" s="1233"/>
      <c r="D101" s="1233"/>
      <c r="E101" s="1233"/>
      <c r="F101" s="1233"/>
      <c r="G101" s="1246">
        <f>Assesment!I31</f>
        <v>30000</v>
      </c>
      <c r="H101" s="1181"/>
      <c r="I101" s="1164"/>
      <c r="J101" s="1165"/>
      <c r="K101" s="1158"/>
      <c r="L101" s="1159"/>
      <c r="M101" s="449"/>
    </row>
    <row r="102" spans="1:13" ht="15.6" thickTop="1" thickBot="1">
      <c r="A102" s="449"/>
      <c r="B102" s="1239" t="s">
        <v>836</v>
      </c>
      <c r="C102" s="1233"/>
      <c r="D102" s="1233"/>
      <c r="E102" s="1233"/>
      <c r="F102" s="1233"/>
      <c r="G102" s="1246">
        <f>Assesment!I26</f>
        <v>0</v>
      </c>
      <c r="H102" s="1181"/>
      <c r="I102" s="1164"/>
      <c r="J102" s="1165"/>
      <c r="K102" s="1158"/>
      <c r="L102" s="1159"/>
      <c r="M102" s="449"/>
    </row>
    <row r="103" spans="1:13" ht="15.6" thickTop="1" thickBot="1">
      <c r="A103" s="449"/>
      <c r="B103" s="1239" t="s">
        <v>837</v>
      </c>
      <c r="C103" s="1233"/>
      <c r="D103" s="1233"/>
      <c r="E103" s="1233"/>
      <c r="F103" s="1233"/>
      <c r="G103" s="1246">
        <f>Assesment!I27</f>
        <v>0</v>
      </c>
      <c r="H103" s="1181"/>
      <c r="I103" s="1164"/>
      <c r="J103" s="1165"/>
      <c r="K103" s="1158"/>
      <c r="L103" s="1159"/>
      <c r="M103" s="449"/>
    </row>
    <row r="104" spans="1:13" ht="15.6" thickTop="1" thickBot="1">
      <c r="A104" s="449"/>
      <c r="B104" s="1239" t="s">
        <v>838</v>
      </c>
      <c r="C104" s="1233"/>
      <c r="D104" s="1233"/>
      <c r="E104" s="1233"/>
      <c r="F104" s="1233"/>
      <c r="G104" s="1246">
        <f>Assesment!O26</f>
        <v>0</v>
      </c>
      <c r="H104" s="1181"/>
      <c r="I104" s="1164"/>
      <c r="J104" s="1165"/>
      <c r="K104" s="1158"/>
      <c r="L104" s="1159"/>
      <c r="M104" s="449"/>
    </row>
    <row r="105" spans="1:13" ht="15.6" thickTop="1" thickBot="1">
      <c r="A105" s="449"/>
      <c r="B105" s="1239" t="s">
        <v>839</v>
      </c>
      <c r="C105" s="1233"/>
      <c r="D105" s="1233"/>
      <c r="E105" s="1233"/>
      <c r="F105" s="1233"/>
      <c r="G105" s="1246">
        <f>Assesment!I25+Assesment!O25</f>
        <v>50000</v>
      </c>
      <c r="H105" s="1181"/>
      <c r="I105" s="1164"/>
      <c r="J105" s="1165"/>
      <c r="K105" s="1158"/>
      <c r="L105" s="1159"/>
      <c r="M105" s="449"/>
    </row>
    <row r="106" spans="1:13" ht="15.6" thickTop="1" thickBot="1">
      <c r="A106" s="449"/>
      <c r="B106" s="1239" t="s">
        <v>840</v>
      </c>
      <c r="C106" s="1233"/>
      <c r="D106" s="1233"/>
      <c r="E106" s="1233"/>
      <c r="F106" s="1233"/>
      <c r="G106" s="1246">
        <f>Assesment!O27</f>
        <v>0</v>
      </c>
      <c r="H106" s="1181"/>
      <c r="I106" s="1164"/>
      <c r="J106" s="1165"/>
      <c r="K106" s="1158"/>
      <c r="L106" s="1159"/>
      <c r="M106" s="449"/>
    </row>
    <row r="107" spans="1:13" ht="15.6" thickTop="1" thickBot="1">
      <c r="A107" s="449"/>
      <c r="B107" s="1239" t="s">
        <v>841</v>
      </c>
      <c r="C107" s="1233"/>
      <c r="D107" s="1233"/>
      <c r="E107" s="1233"/>
      <c r="F107" s="1177"/>
      <c r="G107" s="1246">
        <f>Assesment!O28</f>
        <v>0</v>
      </c>
      <c r="H107" s="1181"/>
      <c r="I107" s="1164"/>
      <c r="J107" s="1165"/>
      <c r="K107" s="1158"/>
      <c r="L107" s="1159"/>
      <c r="M107" s="449"/>
    </row>
    <row r="108" spans="1:13" ht="15.6" thickTop="1" thickBot="1">
      <c r="A108" s="449"/>
      <c r="B108" s="1239" t="s">
        <v>879</v>
      </c>
      <c r="C108" s="1233"/>
      <c r="D108" s="1233"/>
      <c r="E108" s="1233"/>
      <c r="F108" s="1177"/>
      <c r="G108" s="1246">
        <f>Assesment!O30</f>
        <v>0</v>
      </c>
      <c r="H108" s="1181"/>
      <c r="I108" s="1164"/>
      <c r="J108" s="1165"/>
      <c r="K108" s="1158"/>
      <c r="L108" s="1159"/>
      <c r="M108" s="449"/>
    </row>
    <row r="109" spans="1:13" ht="15.6" thickTop="1" thickBot="1">
      <c r="A109" s="449"/>
      <c r="B109" s="1239" t="s">
        <v>842</v>
      </c>
      <c r="C109" s="1233"/>
      <c r="D109" s="1233"/>
      <c r="E109" s="1233"/>
      <c r="F109" s="1177"/>
      <c r="G109" s="1246">
        <f>Assesment!O31</f>
        <v>0</v>
      </c>
      <c r="H109" s="1181"/>
      <c r="I109" s="1164"/>
      <c r="J109" s="1165"/>
      <c r="K109" s="1158"/>
      <c r="L109" s="1159"/>
      <c r="M109" s="449"/>
    </row>
    <row r="110" spans="1:13" ht="15.6" thickTop="1" thickBot="1">
      <c r="A110" s="449"/>
      <c r="B110" s="1134" t="s">
        <v>843</v>
      </c>
      <c r="C110" s="1233"/>
      <c r="D110" s="1233"/>
      <c r="E110" s="1233"/>
      <c r="F110" s="1233"/>
      <c r="G110" s="1246">
        <f>Assesment!O24</f>
        <v>0</v>
      </c>
      <c r="H110" s="1181"/>
      <c r="I110" s="1166"/>
      <c r="J110" s="1167"/>
      <c r="K110" s="1160"/>
      <c r="L110" s="1161"/>
      <c r="M110" s="449"/>
    </row>
    <row r="111" spans="1:13" ht="15.6" thickTop="1" thickBot="1">
      <c r="A111" s="449"/>
      <c r="B111" s="1134" t="s">
        <v>844</v>
      </c>
      <c r="C111" s="1177"/>
      <c r="D111" s="1177"/>
      <c r="E111" s="1177"/>
      <c r="F111" s="1177"/>
      <c r="G111" s="1246">
        <f>Assesment!O23</f>
        <v>0</v>
      </c>
      <c r="H111" s="1181"/>
      <c r="I111" s="1246">
        <f>SUM(G97:H111)</f>
        <v>185728</v>
      </c>
      <c r="J111" s="1181"/>
      <c r="K111" s="1200">
        <f>IF(I111&lt;=150000,I111,150000)+Assesment!Q34</f>
        <v>150000</v>
      </c>
      <c r="L111" s="1181"/>
      <c r="M111" s="449"/>
    </row>
    <row r="112" spans="1:13" ht="17.55" customHeight="1" thickTop="1" thickBot="1">
      <c r="A112" s="449"/>
      <c r="B112" s="1248" t="s">
        <v>845</v>
      </c>
      <c r="C112" s="1193"/>
      <c r="D112" s="1193"/>
      <c r="E112" s="1193"/>
      <c r="F112" s="1193"/>
      <c r="G112" s="1247" t="s">
        <v>746</v>
      </c>
      <c r="H112" s="1193"/>
      <c r="I112" s="1247" t="s">
        <v>846</v>
      </c>
      <c r="J112" s="1193"/>
      <c r="K112" s="1247" t="s">
        <v>830</v>
      </c>
      <c r="L112" s="1193"/>
      <c r="M112" s="449"/>
    </row>
    <row r="113" spans="1:13" ht="15.6" thickTop="1" thickBot="1">
      <c r="A113" s="449"/>
      <c r="B113" s="1176" t="s">
        <v>848</v>
      </c>
      <c r="C113" s="1250"/>
      <c r="D113" s="1250"/>
      <c r="E113" s="1250"/>
      <c r="F113" s="1250"/>
      <c r="G113" s="1246">
        <f>Assesment!Q38</f>
        <v>0</v>
      </c>
      <c r="H113" s="1181"/>
      <c r="I113" s="1246">
        <f>Assesment!Q38</f>
        <v>0</v>
      </c>
      <c r="J113" s="1181"/>
      <c r="K113" s="1177"/>
      <c r="L113" s="1177"/>
      <c r="M113" s="449"/>
    </row>
    <row r="114" spans="1:13" ht="15.6" thickTop="1" thickBot="1">
      <c r="A114" s="449"/>
      <c r="B114" s="1176" t="s">
        <v>849</v>
      </c>
      <c r="C114" s="1250"/>
      <c r="D114" s="1250"/>
      <c r="E114" s="1250"/>
      <c r="F114" s="1250"/>
      <c r="G114" s="1246">
        <f>Assesment!Q39</f>
        <v>0</v>
      </c>
      <c r="H114" s="1181"/>
      <c r="I114" s="1246">
        <f>Assesment!Q39</f>
        <v>0</v>
      </c>
      <c r="J114" s="1181"/>
      <c r="K114" s="1177"/>
      <c r="L114" s="1177"/>
      <c r="M114" s="449"/>
    </row>
    <row r="115" spans="1:13" ht="15.6" thickTop="1" thickBot="1">
      <c r="A115" s="449"/>
      <c r="B115" s="1176" t="s">
        <v>850</v>
      </c>
      <c r="C115" s="1250"/>
      <c r="D115" s="1250"/>
      <c r="E115" s="1250"/>
      <c r="F115" s="1250"/>
      <c r="G115" s="1246">
        <f>Assesment!Q40</f>
        <v>0</v>
      </c>
      <c r="H115" s="1181"/>
      <c r="I115" s="1246">
        <f>Assesment!Q40</f>
        <v>0</v>
      </c>
      <c r="J115" s="1181"/>
      <c r="K115" s="1177"/>
      <c r="L115" s="1177"/>
      <c r="M115" s="449"/>
    </row>
    <row r="116" spans="1:13" ht="15.6" thickTop="1" thickBot="1">
      <c r="A116" s="449"/>
      <c r="B116" s="1176" t="s">
        <v>851</v>
      </c>
      <c r="C116" s="1250"/>
      <c r="D116" s="1250"/>
      <c r="E116" s="1250"/>
      <c r="F116" s="1250"/>
      <c r="G116" s="1246">
        <f>Assesment!Q41</f>
        <v>0</v>
      </c>
      <c r="H116" s="1181"/>
      <c r="I116" s="1246">
        <f>Assesment!Q41</f>
        <v>0</v>
      </c>
      <c r="J116" s="1181"/>
      <c r="K116" s="1177"/>
      <c r="L116" s="1177"/>
      <c r="M116" s="449"/>
    </row>
    <row r="117" spans="1:13" ht="15.6" thickTop="1" thickBot="1">
      <c r="A117" s="449"/>
      <c r="B117" s="1176" t="s">
        <v>852</v>
      </c>
      <c r="C117" s="1250"/>
      <c r="D117" s="1250"/>
      <c r="E117" s="1250"/>
      <c r="F117" s="1250"/>
      <c r="G117" s="1246">
        <f>Assesment!Q42</f>
        <v>0</v>
      </c>
      <c r="H117" s="1181"/>
      <c r="I117" s="1246">
        <f>Assesment!Q42</f>
        <v>0</v>
      </c>
      <c r="J117" s="1181"/>
      <c r="K117" s="1177"/>
      <c r="L117" s="1177"/>
      <c r="M117" s="449"/>
    </row>
    <row r="118" spans="1:13" ht="15.6" thickTop="1" thickBot="1">
      <c r="A118" s="449"/>
      <c r="B118" s="1176" t="s">
        <v>853</v>
      </c>
      <c r="C118" s="1250"/>
      <c r="D118" s="1250"/>
      <c r="E118" s="1250"/>
      <c r="F118" s="1250"/>
      <c r="G118" s="1246">
        <f>Assesment!Q46</f>
        <v>0</v>
      </c>
      <c r="H118" s="1181"/>
      <c r="I118" s="1246">
        <f>Assesment!Q46</f>
        <v>0</v>
      </c>
      <c r="J118" s="1181"/>
      <c r="K118" s="1177"/>
      <c r="L118" s="1177"/>
      <c r="M118" s="449"/>
    </row>
    <row r="119" spans="1:13" ht="15.6" thickTop="1" thickBot="1">
      <c r="A119" s="449"/>
      <c r="B119" s="1176" t="s">
        <v>854</v>
      </c>
      <c r="C119" s="1250"/>
      <c r="D119" s="1250"/>
      <c r="E119" s="1250"/>
      <c r="F119" s="1250"/>
      <c r="G119" s="1246">
        <f>Deductions!E22</f>
        <v>0</v>
      </c>
      <c r="H119" s="1181"/>
      <c r="I119" s="1246">
        <f>Assesment!Q47</f>
        <v>0</v>
      </c>
      <c r="J119" s="1181"/>
      <c r="K119" s="1177"/>
      <c r="L119" s="1177"/>
      <c r="M119" s="449"/>
    </row>
    <row r="120" spans="1:13" ht="15.6" thickTop="1" thickBot="1">
      <c r="A120" s="449"/>
      <c r="B120" s="1176" t="s">
        <v>847</v>
      </c>
      <c r="C120" s="1250"/>
      <c r="D120" s="1250"/>
      <c r="E120" s="1250"/>
      <c r="F120" s="1250"/>
      <c r="G120" s="1246">
        <f>Deductions!Q22</f>
        <v>0</v>
      </c>
      <c r="H120" s="1181"/>
      <c r="I120" s="1246">
        <f>Assesment!Q48</f>
        <v>0</v>
      </c>
      <c r="J120" s="1181"/>
      <c r="K120" s="1177"/>
      <c r="L120" s="1177"/>
      <c r="M120" s="449"/>
    </row>
    <row r="121" spans="1:13" ht="15.6" thickTop="1" thickBot="1">
      <c r="A121" s="449"/>
      <c r="B121" s="1176" t="s">
        <v>855</v>
      </c>
      <c r="C121" s="1250"/>
      <c r="D121" s="1250"/>
      <c r="E121" s="1250"/>
      <c r="F121" s="1250"/>
      <c r="G121" s="1246">
        <f>Assesment!Q43</f>
        <v>0</v>
      </c>
      <c r="H121" s="1181"/>
      <c r="I121" s="1246">
        <f>Assesment!Q43</f>
        <v>0</v>
      </c>
      <c r="J121" s="1181"/>
      <c r="K121" s="1177"/>
      <c r="L121" s="1177"/>
      <c r="M121" s="449"/>
    </row>
    <row r="122" spans="1:13" ht="15.6" thickTop="1" thickBot="1">
      <c r="A122" s="449"/>
      <c r="B122" s="1176" t="s">
        <v>856</v>
      </c>
      <c r="C122" s="1250"/>
      <c r="D122" s="1250"/>
      <c r="E122" s="1250"/>
      <c r="F122" s="1254"/>
      <c r="G122" s="1246">
        <f>Assesment!Q35</f>
        <v>0</v>
      </c>
      <c r="H122" s="1181"/>
      <c r="I122" s="1246">
        <f>Assesment!Q35</f>
        <v>0</v>
      </c>
      <c r="J122" s="1181"/>
      <c r="K122" s="1177"/>
      <c r="L122" s="1177"/>
      <c r="M122" s="449"/>
    </row>
    <row r="123" spans="1:13" ht="15.6" thickTop="1" thickBot="1">
      <c r="A123" s="449"/>
      <c r="B123" s="1176" t="s">
        <v>903</v>
      </c>
      <c r="C123" s="1250"/>
      <c r="D123" s="1250"/>
      <c r="E123" s="1250"/>
      <c r="F123" s="1254"/>
      <c r="G123" s="1246">
        <f>Assesment!Q44+Assesment!Q45</f>
        <v>0</v>
      </c>
      <c r="H123" s="1181"/>
      <c r="I123" s="1246">
        <f>Assesment!Q44+Assesment!Q45</f>
        <v>0</v>
      </c>
      <c r="J123" s="1181"/>
      <c r="K123" s="1246">
        <f>ROUND((I113+I114+I115+I116+I117+I118+I119+I120+I121+I122+I123),0)</f>
        <v>0</v>
      </c>
      <c r="L123" s="1181"/>
      <c r="M123" s="449"/>
    </row>
    <row r="124" spans="1:13" ht="14.55" customHeight="1" thickTop="1" thickBot="1">
      <c r="A124" s="449"/>
      <c r="B124" s="1136" t="s">
        <v>857</v>
      </c>
      <c r="C124" s="1136"/>
      <c r="D124" s="1136"/>
      <c r="E124" s="1136"/>
      <c r="F124" s="1136"/>
      <c r="G124" s="1136"/>
      <c r="H124" s="1136"/>
      <c r="I124" s="1136"/>
      <c r="J124" s="1136"/>
      <c r="K124" s="1231">
        <f>ROUND((K111+K123),0)</f>
        <v>150000</v>
      </c>
      <c r="L124" s="1181"/>
      <c r="M124" s="449"/>
    </row>
    <row r="125" spans="1:13" ht="14.55" customHeight="1" thickTop="1" thickBot="1">
      <c r="A125" s="449"/>
      <c r="B125" s="1136" t="s">
        <v>904</v>
      </c>
      <c r="C125" s="1136"/>
      <c r="D125" s="1136"/>
      <c r="E125" s="1136"/>
      <c r="F125" s="1136"/>
      <c r="G125" s="1136"/>
      <c r="H125" s="1136"/>
      <c r="I125" s="1136"/>
      <c r="J125" s="1136"/>
      <c r="K125" s="1231">
        <f>ROUND(K93-K124,-1)</f>
        <v>565000</v>
      </c>
      <c r="L125" s="1181"/>
      <c r="M125" s="449"/>
    </row>
    <row r="126" spans="1:13" ht="14.55" customHeight="1" thickTop="1" thickBot="1">
      <c r="A126" s="449"/>
      <c r="B126" s="1134" t="s">
        <v>858</v>
      </c>
      <c r="C126" s="1134"/>
      <c r="D126" s="1134"/>
      <c r="E126" s="1134"/>
      <c r="F126" s="1134"/>
      <c r="G126" s="1134"/>
      <c r="H126" s="1134"/>
      <c r="I126" s="1134"/>
      <c r="J126" s="1134"/>
      <c r="K126" s="1200">
        <f>Assesment!Q64</f>
        <v>25500</v>
      </c>
      <c r="L126" s="1181"/>
      <c r="M126" s="449"/>
    </row>
    <row r="127" spans="1:13" ht="14.55" customHeight="1" thickTop="1" thickBot="1">
      <c r="A127" s="449"/>
      <c r="B127" s="1135" t="s">
        <v>859</v>
      </c>
      <c r="C127" s="1135"/>
      <c r="D127" s="1135"/>
      <c r="E127" s="1135"/>
      <c r="F127" s="1135"/>
      <c r="G127" s="1135"/>
      <c r="H127" s="1135"/>
      <c r="I127" s="1135"/>
      <c r="J127" s="1135"/>
      <c r="K127" s="1200">
        <f>Assesment!Q65</f>
        <v>1020</v>
      </c>
      <c r="L127" s="1181"/>
      <c r="M127" s="449"/>
    </row>
    <row r="128" spans="1:13" ht="14.55" customHeight="1" thickTop="1" thickBot="1">
      <c r="A128" s="449"/>
      <c r="B128" s="1134" t="s">
        <v>860</v>
      </c>
      <c r="C128" s="1134"/>
      <c r="D128" s="1134"/>
      <c r="E128" s="1134"/>
      <c r="F128" s="1134"/>
      <c r="G128" s="1134"/>
      <c r="H128" s="1134"/>
      <c r="I128" s="1134"/>
      <c r="J128" s="1134"/>
      <c r="K128" s="1231">
        <f>K126+K127</f>
        <v>26520</v>
      </c>
      <c r="L128" s="1181"/>
      <c r="M128" s="449"/>
    </row>
    <row r="129" spans="1:13" ht="14.55" customHeight="1" thickTop="1" thickBot="1">
      <c r="A129" s="449"/>
      <c r="B129" s="1135" t="s">
        <v>861</v>
      </c>
      <c r="C129" s="1135"/>
      <c r="D129" s="1135"/>
      <c r="E129" s="1135"/>
      <c r="F129" s="1135"/>
      <c r="G129" s="1135"/>
      <c r="H129" s="1135"/>
      <c r="I129" s="1135"/>
      <c r="J129" s="1135"/>
      <c r="K129" s="1200">
        <f>Assesment!Q67</f>
        <v>0</v>
      </c>
      <c r="L129" s="1181"/>
      <c r="M129" s="449"/>
    </row>
    <row r="130" spans="1:13" ht="15" customHeight="1" thickTop="1" thickBot="1">
      <c r="A130" s="449"/>
      <c r="B130" s="1134" t="s">
        <v>862</v>
      </c>
      <c r="C130" s="1134"/>
      <c r="D130" s="1134"/>
      <c r="E130" s="1134"/>
      <c r="F130" s="1134"/>
      <c r="G130" s="1134"/>
      <c r="H130" s="1134"/>
      <c r="I130" s="1134"/>
      <c r="J130" s="1134"/>
      <c r="K130" s="1231">
        <f>K128-K129</f>
        <v>26520</v>
      </c>
      <c r="L130" s="1181"/>
      <c r="M130" s="449"/>
    </row>
    <row r="131" spans="1:13" ht="15" thickTop="1">
      <c r="A131" s="449"/>
      <c r="B131" s="1290" t="s">
        <v>744</v>
      </c>
      <c r="C131" s="1183"/>
      <c r="D131" s="1183"/>
      <c r="E131" s="1183"/>
      <c r="F131" s="1183"/>
      <c r="G131" s="1183"/>
      <c r="H131" s="1183"/>
      <c r="I131" s="1183"/>
      <c r="J131" s="1183"/>
      <c r="K131" s="1183"/>
      <c r="L131" s="1183"/>
      <c r="M131" s="449"/>
    </row>
    <row r="132" spans="1:13">
      <c r="A132" s="449"/>
      <c r="B132" s="553" t="s">
        <v>274</v>
      </c>
      <c r="C132" s="1217" t="str">
        <f>IF('Gen Info'!F9="","",'Gen Info'!F9)</f>
        <v>HANS RAJ JOSHI</v>
      </c>
      <c r="D132" s="1218"/>
      <c r="E132" s="1218"/>
      <c r="F132" s="538" t="s">
        <v>796</v>
      </c>
      <c r="G132" s="1217" t="str">
        <f>IF('Gen Info'!F10="","",'Gen Info'!F10)</f>
        <v/>
      </c>
      <c r="H132" s="1218"/>
      <c r="I132" s="1218"/>
      <c r="J132" s="1218"/>
      <c r="K132" s="1219" t="s">
        <v>797</v>
      </c>
      <c r="L132" s="1183"/>
      <c r="M132" s="449"/>
    </row>
    <row r="133" spans="1:13">
      <c r="A133" s="449"/>
      <c r="B133" s="1219" t="s">
        <v>798</v>
      </c>
      <c r="C133" s="1183"/>
      <c r="D133" s="1217" t="str">
        <f>IF('Gen Info'!F11="","",'Gen Info'!F11)</f>
        <v/>
      </c>
      <c r="E133" s="1218"/>
      <c r="F133" s="1218"/>
      <c r="G133" s="1219" t="s">
        <v>863</v>
      </c>
      <c r="H133" s="1183"/>
      <c r="I133" s="1183"/>
      <c r="J133" s="1183"/>
      <c r="K133" s="1183"/>
      <c r="L133" s="1183"/>
      <c r="M133" s="449"/>
    </row>
    <row r="134" spans="1:13">
      <c r="A134" s="449"/>
      <c r="B134" s="1228" t="s">
        <v>864</v>
      </c>
      <c r="C134" s="1183"/>
      <c r="D134" s="1183"/>
      <c r="E134" s="1183"/>
      <c r="F134" s="1183"/>
      <c r="G134" s="1183"/>
      <c r="H134" s="1183"/>
      <c r="I134" s="1183"/>
      <c r="J134" s="1183"/>
      <c r="K134" s="1183"/>
      <c r="L134" s="1183"/>
      <c r="M134" s="449"/>
    </row>
    <row r="135" spans="1:13">
      <c r="A135" s="449"/>
      <c r="B135" s="1228" t="s">
        <v>865</v>
      </c>
      <c r="C135" s="1183"/>
      <c r="D135" s="1183"/>
      <c r="E135" s="1183"/>
      <c r="F135" s="1183"/>
      <c r="G135" s="1183"/>
      <c r="H135" s="1183"/>
      <c r="I135" s="1183"/>
      <c r="J135" s="1183"/>
      <c r="K135" s="1183"/>
      <c r="L135" s="1183"/>
      <c r="M135" s="449"/>
    </row>
    <row r="136" spans="1:13">
      <c r="A136" s="449"/>
      <c r="B136" s="1289" t="s">
        <v>804</v>
      </c>
      <c r="C136" s="1114"/>
      <c r="D136" s="1132"/>
      <c r="E136" s="1133"/>
      <c r="F136" s="1222"/>
      <c r="G136" s="1183"/>
      <c r="H136" s="1183"/>
      <c r="I136" s="1183"/>
      <c r="J136" s="1183"/>
      <c r="K136" s="1183"/>
      <c r="L136" s="1183"/>
      <c r="M136" s="449"/>
    </row>
    <row r="137" spans="1:13">
      <c r="A137" s="449"/>
      <c r="B137" s="1289" t="s">
        <v>805</v>
      </c>
      <c r="C137" s="1114"/>
      <c r="D137" s="1132"/>
      <c r="E137" s="1133"/>
      <c r="F137" s="1222" t="s">
        <v>806</v>
      </c>
      <c r="G137" s="1183"/>
      <c r="H137" s="1183"/>
      <c r="I137" s="1183"/>
      <c r="J137" s="1183"/>
      <c r="K137" s="1183"/>
      <c r="L137" s="1183"/>
      <c r="M137" s="449"/>
    </row>
    <row r="138" spans="1:13">
      <c r="A138" s="449"/>
      <c r="B138" s="1286" t="s">
        <v>266</v>
      </c>
      <c r="C138" s="1183"/>
      <c r="D138" s="1287" t="str">
        <f>IF('Gen Info'!F11="","",'Gen Info'!F11)</f>
        <v/>
      </c>
      <c r="E138" s="1218"/>
      <c r="F138" s="554" t="s">
        <v>807</v>
      </c>
      <c r="G138" s="1225" t="str">
        <f>IF('Gen Info'!F9="","",'Gen Info'!F9)</f>
        <v>HANS RAJ JOSHI</v>
      </c>
      <c r="H138" s="1218"/>
      <c r="I138" s="1218"/>
      <c r="J138" s="1218"/>
      <c r="K138" s="1218"/>
      <c r="L138" s="1218"/>
      <c r="M138" s="449"/>
    </row>
    <row r="139" spans="1:13">
      <c r="A139" s="449"/>
      <c r="B139" s="555"/>
      <c r="C139" s="555"/>
      <c r="D139" s="555"/>
      <c r="E139" s="555"/>
      <c r="F139" s="555"/>
      <c r="G139" s="555"/>
      <c r="H139" s="555"/>
      <c r="I139" s="555"/>
      <c r="J139" s="555"/>
      <c r="K139" s="555"/>
      <c r="L139" s="555"/>
      <c r="M139" s="449"/>
    </row>
    <row r="140" spans="1:13">
      <c r="A140" s="449"/>
      <c r="B140" s="556"/>
      <c r="C140" s="556"/>
      <c r="D140" s="556"/>
      <c r="E140" s="556"/>
      <c r="F140" s="556"/>
      <c r="G140" s="556"/>
      <c r="H140" s="556"/>
      <c r="I140" s="556"/>
      <c r="J140" s="556"/>
      <c r="K140" s="556"/>
      <c r="L140" s="556"/>
      <c r="M140" s="449"/>
    </row>
    <row r="141" spans="1:13">
      <c r="A141" s="449"/>
      <c r="B141" s="555"/>
      <c r="C141" s="555"/>
      <c r="D141" s="555"/>
      <c r="E141" s="555"/>
      <c r="F141" s="555"/>
      <c r="G141" s="555"/>
      <c r="H141" s="555"/>
      <c r="I141" s="555"/>
      <c r="J141" s="555"/>
      <c r="K141" s="555"/>
      <c r="L141" s="555"/>
      <c r="M141" s="449"/>
    </row>
    <row r="142" spans="1:13">
      <c r="A142" s="449"/>
      <c r="B142" s="557"/>
      <c r="C142" s="557"/>
      <c r="D142" s="557"/>
      <c r="E142" s="555"/>
      <c r="F142" s="555"/>
      <c r="G142" s="555"/>
      <c r="H142" s="555"/>
      <c r="I142" s="555"/>
      <c r="J142" s="555"/>
      <c r="K142" s="555"/>
      <c r="L142" s="555"/>
      <c r="M142" s="449"/>
    </row>
    <row r="143" spans="1:13">
      <c r="A143" s="449"/>
      <c r="B143" s="1288" t="s">
        <v>866</v>
      </c>
      <c r="C143" s="1183"/>
      <c r="D143" s="1183"/>
      <c r="E143" s="1183"/>
      <c r="F143" s="1183"/>
      <c r="G143" s="1183"/>
      <c r="H143" s="1183"/>
      <c r="I143" s="1183"/>
      <c r="J143" s="1183"/>
      <c r="K143" s="1183"/>
      <c r="L143" s="1183"/>
      <c r="M143" s="449"/>
    </row>
    <row r="144" spans="1:13">
      <c r="A144" s="449"/>
      <c r="B144" s="1285" t="s">
        <v>867</v>
      </c>
      <c r="C144" s="1183"/>
      <c r="D144" s="1183"/>
      <c r="E144" s="1183"/>
      <c r="F144" s="1183"/>
      <c r="G144" s="1183"/>
      <c r="H144" s="1183"/>
      <c r="I144" s="1183"/>
      <c r="J144" s="1183"/>
      <c r="K144" s="1183"/>
      <c r="L144" s="1183"/>
      <c r="M144" s="449"/>
    </row>
    <row r="145" spans="1:13">
      <c r="A145" s="449"/>
      <c r="B145" s="1183"/>
      <c r="C145" s="1183"/>
      <c r="D145" s="1183"/>
      <c r="E145" s="1183"/>
      <c r="F145" s="1183"/>
      <c r="G145" s="1183"/>
      <c r="H145" s="1183"/>
      <c r="I145" s="1183"/>
      <c r="J145" s="1183"/>
      <c r="K145" s="1183"/>
      <c r="L145" s="1183"/>
      <c r="M145" s="449"/>
    </row>
    <row r="146" spans="1:13" ht="3" customHeight="1">
      <c r="A146" s="449"/>
      <c r="B146" s="1183"/>
      <c r="C146" s="1183"/>
      <c r="D146" s="1183"/>
      <c r="E146" s="1183"/>
      <c r="F146" s="1183"/>
      <c r="G146" s="1183"/>
      <c r="H146" s="1183"/>
      <c r="I146" s="1183"/>
      <c r="J146" s="1183"/>
      <c r="K146" s="1183"/>
      <c r="L146" s="1183"/>
      <c r="M146" s="449"/>
    </row>
    <row r="147" spans="1:13">
      <c r="A147" s="449"/>
      <c r="B147" s="1285" t="s">
        <v>868</v>
      </c>
      <c r="C147" s="1183"/>
      <c r="D147" s="1183"/>
      <c r="E147" s="1183"/>
      <c r="F147" s="1183"/>
      <c r="G147" s="1183"/>
      <c r="H147" s="1183"/>
      <c r="I147" s="1183"/>
      <c r="J147" s="1183"/>
      <c r="K147" s="1183"/>
      <c r="L147" s="1183"/>
      <c r="M147" s="449"/>
    </row>
    <row r="148" spans="1:13" ht="13.5" customHeight="1">
      <c r="A148" s="449"/>
      <c r="B148" s="1183"/>
      <c r="C148" s="1183"/>
      <c r="D148" s="1183"/>
      <c r="E148" s="1183"/>
      <c r="F148" s="1183"/>
      <c r="G148" s="1183"/>
      <c r="H148" s="1183"/>
      <c r="I148" s="1183"/>
      <c r="J148" s="1183"/>
      <c r="K148" s="1183"/>
      <c r="L148" s="1183"/>
      <c r="M148" s="449"/>
    </row>
    <row r="149" spans="1:13" ht="6.6" hidden="1" customHeight="1">
      <c r="A149" s="449"/>
      <c r="B149" s="1183"/>
      <c r="C149" s="1183"/>
      <c r="D149" s="1183"/>
      <c r="E149" s="1183"/>
      <c r="F149" s="1183"/>
      <c r="G149" s="1183"/>
      <c r="H149" s="1183"/>
      <c r="I149" s="1183"/>
      <c r="J149" s="1183"/>
      <c r="K149" s="1183"/>
      <c r="L149" s="1183"/>
      <c r="M149" s="449"/>
    </row>
    <row r="150" spans="1:13">
      <c r="A150" s="449"/>
      <c r="B150" s="1285" t="s">
        <v>869</v>
      </c>
      <c r="C150" s="1183"/>
      <c r="D150" s="1183"/>
      <c r="E150" s="1183"/>
      <c r="F150" s="1183"/>
      <c r="G150" s="1183"/>
      <c r="H150" s="1183"/>
      <c r="I150" s="1183"/>
      <c r="J150" s="1183"/>
      <c r="K150" s="1183"/>
      <c r="L150" s="1183"/>
      <c r="M150" s="449"/>
    </row>
    <row r="151" spans="1:13">
      <c r="A151" s="449"/>
      <c r="B151" s="1183"/>
      <c r="C151" s="1183"/>
      <c r="D151" s="1183"/>
      <c r="E151" s="1183"/>
      <c r="F151" s="1183"/>
      <c r="G151" s="1183"/>
      <c r="H151" s="1183"/>
      <c r="I151" s="1183"/>
      <c r="J151" s="1183"/>
      <c r="K151" s="1183"/>
      <c r="L151" s="1183"/>
      <c r="M151" s="449"/>
    </row>
    <row r="152" spans="1:13" ht="13.5" customHeight="1">
      <c r="A152" s="449"/>
      <c r="B152" s="1183"/>
      <c r="C152" s="1183"/>
      <c r="D152" s="1183"/>
      <c r="E152" s="1183"/>
      <c r="F152" s="1183"/>
      <c r="G152" s="1183"/>
      <c r="H152" s="1183"/>
      <c r="I152" s="1183"/>
      <c r="J152" s="1183"/>
      <c r="K152" s="1183"/>
      <c r="L152" s="1183"/>
      <c r="M152" s="449"/>
    </row>
    <row r="153" spans="1:13" hidden="1">
      <c r="A153" s="449"/>
      <c r="B153" s="1183"/>
      <c r="C153" s="1183"/>
      <c r="D153" s="1183"/>
      <c r="E153" s="1183"/>
      <c r="F153" s="1183"/>
      <c r="G153" s="1183"/>
      <c r="H153" s="1183"/>
      <c r="I153" s="1183"/>
      <c r="J153" s="1183"/>
      <c r="K153" s="1183"/>
      <c r="L153" s="1183"/>
      <c r="M153" s="449"/>
    </row>
    <row r="154" spans="1:13">
      <c r="A154" s="449"/>
      <c r="B154" s="1285" t="s">
        <v>870</v>
      </c>
      <c r="C154" s="1183"/>
      <c r="D154" s="1183"/>
      <c r="E154" s="1183"/>
      <c r="F154" s="1183"/>
      <c r="G154" s="1183"/>
      <c r="H154" s="1183"/>
      <c r="I154" s="1183"/>
      <c r="J154" s="1183"/>
      <c r="K154" s="1183"/>
      <c r="L154" s="1183"/>
      <c r="M154" s="449"/>
    </row>
    <row r="155" spans="1:13">
      <c r="A155" s="449"/>
      <c r="B155" s="1183"/>
      <c r="C155" s="1183"/>
      <c r="D155" s="1183"/>
      <c r="E155" s="1183"/>
      <c r="F155" s="1183"/>
      <c r="G155" s="1183"/>
      <c r="H155" s="1183"/>
      <c r="I155" s="1183"/>
      <c r="J155" s="1183"/>
      <c r="K155" s="1183"/>
      <c r="L155" s="1183"/>
      <c r="M155" s="449"/>
    </row>
    <row r="156" spans="1:13">
      <c r="A156" s="449"/>
      <c r="B156" s="1183"/>
      <c r="C156" s="1183"/>
      <c r="D156" s="1183"/>
      <c r="E156" s="1183"/>
      <c r="F156" s="1183"/>
      <c r="G156" s="1183"/>
      <c r="H156" s="1183"/>
      <c r="I156" s="1183"/>
      <c r="J156" s="1183"/>
      <c r="K156" s="1183"/>
      <c r="L156" s="1183"/>
      <c r="M156" s="449"/>
    </row>
    <row r="157" spans="1:13" ht="11.55" customHeight="1">
      <c r="A157" s="449"/>
      <c r="B157" s="1183"/>
      <c r="C157" s="1183"/>
      <c r="D157" s="1183"/>
      <c r="E157" s="1183"/>
      <c r="F157" s="1183"/>
      <c r="G157" s="1183"/>
      <c r="H157" s="1183"/>
      <c r="I157" s="1183"/>
      <c r="J157" s="1183"/>
      <c r="K157" s="1183"/>
      <c r="L157" s="1183"/>
      <c r="M157" s="449"/>
    </row>
    <row r="158" spans="1:13" hidden="1">
      <c r="A158" s="449"/>
      <c r="B158" s="1183"/>
      <c r="C158" s="1183"/>
      <c r="D158" s="1183"/>
      <c r="E158" s="1183"/>
      <c r="F158" s="1183"/>
      <c r="G158" s="1183"/>
      <c r="H158" s="1183"/>
      <c r="I158" s="1183"/>
      <c r="J158" s="1183"/>
      <c r="K158" s="1183"/>
      <c r="L158" s="1183"/>
      <c r="M158" s="449"/>
    </row>
    <row r="159" spans="1:13">
      <c r="A159" s="449"/>
      <c r="B159" s="1285" t="s">
        <v>871</v>
      </c>
      <c r="C159" s="1183"/>
      <c r="D159" s="1183"/>
      <c r="E159" s="1183"/>
      <c r="F159" s="1183"/>
      <c r="G159" s="1183"/>
      <c r="H159" s="1183"/>
      <c r="I159" s="1183"/>
      <c r="J159" s="1183"/>
      <c r="K159" s="1183"/>
      <c r="L159" s="1183"/>
      <c r="M159" s="449"/>
    </row>
    <row r="160" spans="1:13" ht="10.5" customHeight="1">
      <c r="A160" s="449"/>
      <c r="B160" s="1183"/>
      <c r="C160" s="1183"/>
      <c r="D160" s="1183"/>
      <c r="E160" s="1183"/>
      <c r="F160" s="1183"/>
      <c r="G160" s="1183"/>
      <c r="H160" s="1183"/>
      <c r="I160" s="1183"/>
      <c r="J160" s="1183"/>
      <c r="K160" s="1183"/>
      <c r="L160" s="1183"/>
      <c r="M160" s="449"/>
    </row>
    <row r="161" spans="1:13">
      <c r="A161" s="449"/>
      <c r="B161" s="449"/>
      <c r="C161" s="449"/>
      <c r="D161" s="449"/>
      <c r="E161" s="449"/>
      <c r="F161" s="449"/>
      <c r="G161" s="449"/>
      <c r="H161" s="449"/>
      <c r="I161" s="449"/>
      <c r="J161" s="449"/>
      <c r="K161" s="449"/>
      <c r="L161" s="449"/>
      <c r="M161" s="449"/>
    </row>
  </sheetData>
  <sheetProtection algorithmName="SHA-512" hashValue="yQ3a+xYXrTZlZ0dJdNKRG6RyA0sr4kBodSVFsA+0eg91NuytfdcA6fUUwOjsEmnR2i2CxzbypgNg0VcFDvfaaw==" saltValue="ETxXtjjDrLJKpqNcNHnfZw==" spinCount="100000" sheet="1" objects="1" scenarios="1" formatCells="0" formatColumns="0" formatRows="0"/>
  <mergeCells count="385">
    <mergeCell ref="S16:V16"/>
    <mergeCell ref="O2:V4"/>
    <mergeCell ref="O5:V11"/>
    <mergeCell ref="O12:R15"/>
    <mergeCell ref="S12:V15"/>
    <mergeCell ref="B150:L153"/>
    <mergeCell ref="B154:L158"/>
    <mergeCell ref="B159:L160"/>
    <mergeCell ref="B138:C138"/>
    <mergeCell ref="D138:E138"/>
    <mergeCell ref="G138:L138"/>
    <mergeCell ref="B143:L143"/>
    <mergeCell ref="B144:L146"/>
    <mergeCell ref="B147:L149"/>
    <mergeCell ref="B134:L134"/>
    <mergeCell ref="B135:L135"/>
    <mergeCell ref="B136:C136"/>
    <mergeCell ref="D136:E136"/>
    <mergeCell ref="F136:L136"/>
    <mergeCell ref="B137:C137"/>
    <mergeCell ref="F137:L137"/>
    <mergeCell ref="B131:L131"/>
    <mergeCell ref="C132:E132"/>
    <mergeCell ref="G132:J132"/>
    <mergeCell ref="K132:L132"/>
    <mergeCell ref="B133:C133"/>
    <mergeCell ref="D133:F133"/>
    <mergeCell ref="G133:L133"/>
    <mergeCell ref="K129:L129"/>
    <mergeCell ref="K130:L130"/>
    <mergeCell ref="B130:J130"/>
    <mergeCell ref="O16:R16"/>
    <mergeCell ref="K125:L125"/>
    <mergeCell ref="B123:F123"/>
    <mergeCell ref="G123:H123"/>
    <mergeCell ref="I123:J123"/>
    <mergeCell ref="K123:L123"/>
    <mergeCell ref="K124:L124"/>
    <mergeCell ref="K127:L127"/>
    <mergeCell ref="K128:L128"/>
    <mergeCell ref="K126:L126"/>
    <mergeCell ref="I121:J121"/>
    <mergeCell ref="B122:F122"/>
    <mergeCell ref="G122:H122"/>
    <mergeCell ref="I122:J122"/>
    <mergeCell ref="G112:H112"/>
    <mergeCell ref="I112:J112"/>
    <mergeCell ref="B118:F118"/>
    <mergeCell ref="I118:J118"/>
    <mergeCell ref="B119:F119"/>
    <mergeCell ref="G119:H119"/>
    <mergeCell ref="I119:J119"/>
    <mergeCell ref="B116:F116"/>
    <mergeCell ref="G116:H116"/>
    <mergeCell ref="I116:J116"/>
    <mergeCell ref="B117:F117"/>
    <mergeCell ref="G117:H117"/>
    <mergeCell ref="I117:J117"/>
    <mergeCell ref="K112:L112"/>
    <mergeCell ref="G120:H120"/>
    <mergeCell ref="I120:J120"/>
    <mergeCell ref="K113:L122"/>
    <mergeCell ref="B113:F113"/>
    <mergeCell ref="G113:H113"/>
    <mergeCell ref="B109:F109"/>
    <mergeCell ref="G109:H109"/>
    <mergeCell ref="B110:F110"/>
    <mergeCell ref="G110:H110"/>
    <mergeCell ref="B111:F111"/>
    <mergeCell ref="G111:H111"/>
    <mergeCell ref="I111:J111"/>
    <mergeCell ref="K111:L111"/>
    <mergeCell ref="I113:J113"/>
    <mergeCell ref="B114:F114"/>
    <mergeCell ref="G114:H114"/>
    <mergeCell ref="I114:J114"/>
    <mergeCell ref="B115:F115"/>
    <mergeCell ref="G115:H115"/>
    <mergeCell ref="I115:J115"/>
    <mergeCell ref="B112:F112"/>
    <mergeCell ref="B121:F121"/>
    <mergeCell ref="G118:H118"/>
    <mergeCell ref="G121:H121"/>
    <mergeCell ref="B105:F105"/>
    <mergeCell ref="G105:H105"/>
    <mergeCell ref="B106:F106"/>
    <mergeCell ref="G106:H106"/>
    <mergeCell ref="B107:F107"/>
    <mergeCell ref="G107:H107"/>
    <mergeCell ref="B108:F108"/>
    <mergeCell ref="G108:H108"/>
    <mergeCell ref="B120:F120"/>
    <mergeCell ref="G101:H101"/>
    <mergeCell ref="B102:F102"/>
    <mergeCell ref="G102:H102"/>
    <mergeCell ref="B103:F103"/>
    <mergeCell ref="G103:H103"/>
    <mergeCell ref="B104:F104"/>
    <mergeCell ref="G104:H104"/>
    <mergeCell ref="B101:F101"/>
    <mergeCell ref="B96:F96"/>
    <mergeCell ref="G96:H96"/>
    <mergeCell ref="B98:F98"/>
    <mergeCell ref="G98:H98"/>
    <mergeCell ref="B99:F99"/>
    <mergeCell ref="G99:H99"/>
    <mergeCell ref="B86:C86"/>
    <mergeCell ref="D86:F86"/>
    <mergeCell ref="G86:H86"/>
    <mergeCell ref="B83:H83"/>
    <mergeCell ref="I87:J87"/>
    <mergeCell ref="K93:L93"/>
    <mergeCell ref="B93:J93"/>
    <mergeCell ref="B88:J88"/>
    <mergeCell ref="B100:F100"/>
    <mergeCell ref="G100:H100"/>
    <mergeCell ref="I96:J96"/>
    <mergeCell ref="K96:L96"/>
    <mergeCell ref="K88:L88"/>
    <mergeCell ref="K89:L92"/>
    <mergeCell ref="B90:E90"/>
    <mergeCell ref="B91:E91"/>
    <mergeCell ref="B92:E92"/>
    <mergeCell ref="B97:F97"/>
    <mergeCell ref="G97:H97"/>
    <mergeCell ref="G76:H76"/>
    <mergeCell ref="I77:J77"/>
    <mergeCell ref="B78:F78"/>
    <mergeCell ref="G78:H78"/>
    <mergeCell ref="I78:J78"/>
    <mergeCell ref="B72:L72"/>
    <mergeCell ref="B73:F73"/>
    <mergeCell ref="G73:H73"/>
    <mergeCell ref="I73:J76"/>
    <mergeCell ref="K73:L87"/>
    <mergeCell ref="B74:F74"/>
    <mergeCell ref="G74:H74"/>
    <mergeCell ref="B75:F75"/>
    <mergeCell ref="G75:H75"/>
    <mergeCell ref="B76:F76"/>
    <mergeCell ref="I83:J83"/>
    <mergeCell ref="B84:F84"/>
    <mergeCell ref="G84:H84"/>
    <mergeCell ref="B85:C85"/>
    <mergeCell ref="D85:F85"/>
    <mergeCell ref="G85:H85"/>
    <mergeCell ref="B79:F79"/>
    <mergeCell ref="I79:J82"/>
    <mergeCell ref="B80:D80"/>
    <mergeCell ref="B69:C69"/>
    <mergeCell ref="F69:L69"/>
    <mergeCell ref="B70:C70"/>
    <mergeCell ref="D70:E70"/>
    <mergeCell ref="G70:L70"/>
    <mergeCell ref="B71:L71"/>
    <mergeCell ref="D65:H65"/>
    <mergeCell ref="I65:L65"/>
    <mergeCell ref="B66:L66"/>
    <mergeCell ref="B67:L67"/>
    <mergeCell ref="B68:C68"/>
    <mergeCell ref="D68:E68"/>
    <mergeCell ref="F68:L68"/>
    <mergeCell ref="D69:E69"/>
    <mergeCell ref="B62:L62"/>
    <mergeCell ref="C63:E63"/>
    <mergeCell ref="G63:J63"/>
    <mergeCell ref="K63:L63"/>
    <mergeCell ref="B64:C64"/>
    <mergeCell ref="D64:F64"/>
    <mergeCell ref="G64:L64"/>
    <mergeCell ref="C60:D60"/>
    <mergeCell ref="E60:F60"/>
    <mergeCell ref="G60:H60"/>
    <mergeCell ref="I60:J60"/>
    <mergeCell ref="K60:L60"/>
    <mergeCell ref="C61:D61"/>
    <mergeCell ref="E61:L61"/>
    <mergeCell ref="C58:D58"/>
    <mergeCell ref="E58:F58"/>
    <mergeCell ref="G58:H58"/>
    <mergeCell ref="I58:J58"/>
    <mergeCell ref="K58:L58"/>
    <mergeCell ref="C59:D59"/>
    <mergeCell ref="E59:F59"/>
    <mergeCell ref="G59:H59"/>
    <mergeCell ref="I59:J59"/>
    <mergeCell ref="K59:L59"/>
    <mergeCell ref="C56:D56"/>
    <mergeCell ref="E56:F56"/>
    <mergeCell ref="G56:H56"/>
    <mergeCell ref="I56:J56"/>
    <mergeCell ref="K56:L56"/>
    <mergeCell ref="C57:D57"/>
    <mergeCell ref="E57:F57"/>
    <mergeCell ref="G57:H57"/>
    <mergeCell ref="I57:J57"/>
    <mergeCell ref="K57:L57"/>
    <mergeCell ref="C54:D54"/>
    <mergeCell ref="E54:F54"/>
    <mergeCell ref="G54:H54"/>
    <mergeCell ref="I54:J54"/>
    <mergeCell ref="K54:L54"/>
    <mergeCell ref="C55:D55"/>
    <mergeCell ref="E55:F55"/>
    <mergeCell ref="G55:H55"/>
    <mergeCell ref="I55:J55"/>
    <mergeCell ref="K55:L55"/>
    <mergeCell ref="C52:D52"/>
    <mergeCell ref="E52:F52"/>
    <mergeCell ref="G52:H52"/>
    <mergeCell ref="I52:J52"/>
    <mergeCell ref="K52:L52"/>
    <mergeCell ref="C53:D53"/>
    <mergeCell ref="E53:F53"/>
    <mergeCell ref="G53:H53"/>
    <mergeCell ref="I53:J53"/>
    <mergeCell ref="K53:L53"/>
    <mergeCell ref="C50:D50"/>
    <mergeCell ref="E50:F50"/>
    <mergeCell ref="G50:H50"/>
    <mergeCell ref="I50:J50"/>
    <mergeCell ref="K50:L50"/>
    <mergeCell ref="C51:D51"/>
    <mergeCell ref="E51:F51"/>
    <mergeCell ref="G51:H51"/>
    <mergeCell ref="I51:J51"/>
    <mergeCell ref="K51:L51"/>
    <mergeCell ref="C48:D48"/>
    <mergeCell ref="E48:F48"/>
    <mergeCell ref="G48:H48"/>
    <mergeCell ref="I48:J48"/>
    <mergeCell ref="K48:L48"/>
    <mergeCell ref="C49:D49"/>
    <mergeCell ref="E49:F49"/>
    <mergeCell ref="G49:H49"/>
    <mergeCell ref="I49:J49"/>
    <mergeCell ref="K49:L49"/>
    <mergeCell ref="C46:D46"/>
    <mergeCell ref="E46:F46"/>
    <mergeCell ref="G46:H46"/>
    <mergeCell ref="I46:J46"/>
    <mergeCell ref="K46:L46"/>
    <mergeCell ref="C47:D47"/>
    <mergeCell ref="E47:F47"/>
    <mergeCell ref="G47:H47"/>
    <mergeCell ref="I47:J47"/>
    <mergeCell ref="K47:L47"/>
    <mergeCell ref="B43:L43"/>
    <mergeCell ref="B44:B45"/>
    <mergeCell ref="C44:D45"/>
    <mergeCell ref="E44:L44"/>
    <mergeCell ref="E45:F45"/>
    <mergeCell ref="G45:H45"/>
    <mergeCell ref="I45:J45"/>
    <mergeCell ref="K45:L45"/>
    <mergeCell ref="C40:D40"/>
    <mergeCell ref="G40:I40"/>
    <mergeCell ref="J40:L40"/>
    <mergeCell ref="C41:D41"/>
    <mergeCell ref="E41:L41"/>
    <mergeCell ref="B42:L42"/>
    <mergeCell ref="C38:D38"/>
    <mergeCell ref="G38:I38"/>
    <mergeCell ref="J38:L38"/>
    <mergeCell ref="C39:D39"/>
    <mergeCell ref="G39:I39"/>
    <mergeCell ref="J39:L39"/>
    <mergeCell ref="C36:D36"/>
    <mergeCell ref="G36:I36"/>
    <mergeCell ref="J36:L36"/>
    <mergeCell ref="C37:D37"/>
    <mergeCell ref="G37:I37"/>
    <mergeCell ref="J37:L37"/>
    <mergeCell ref="C34:D34"/>
    <mergeCell ref="G34:I34"/>
    <mergeCell ref="J34:L34"/>
    <mergeCell ref="C35:D35"/>
    <mergeCell ref="G35:I35"/>
    <mergeCell ref="J35:L35"/>
    <mergeCell ref="C32:D32"/>
    <mergeCell ref="G32:I32"/>
    <mergeCell ref="J32:L32"/>
    <mergeCell ref="C33:D33"/>
    <mergeCell ref="G33:I33"/>
    <mergeCell ref="J33:L33"/>
    <mergeCell ref="C30:D30"/>
    <mergeCell ref="G30:I30"/>
    <mergeCell ref="J30:L30"/>
    <mergeCell ref="C31:D31"/>
    <mergeCell ref="G31:I31"/>
    <mergeCell ref="J31:L31"/>
    <mergeCell ref="C28:D28"/>
    <mergeCell ref="G28:I28"/>
    <mergeCell ref="J28:L28"/>
    <mergeCell ref="C29:D29"/>
    <mergeCell ref="G29:I29"/>
    <mergeCell ref="J29:L29"/>
    <mergeCell ref="C26:D26"/>
    <mergeCell ref="G26:I26"/>
    <mergeCell ref="J26:L26"/>
    <mergeCell ref="C27:D27"/>
    <mergeCell ref="G27:I27"/>
    <mergeCell ref="J27:L27"/>
    <mergeCell ref="B22:L22"/>
    <mergeCell ref="B23:L23"/>
    <mergeCell ref="B24:B25"/>
    <mergeCell ref="C24:D25"/>
    <mergeCell ref="E24:L24"/>
    <mergeCell ref="G25:I25"/>
    <mergeCell ref="J25:L25"/>
    <mergeCell ref="C20:E20"/>
    <mergeCell ref="G20:I20"/>
    <mergeCell ref="J20:L20"/>
    <mergeCell ref="B21:E21"/>
    <mergeCell ref="G21:I21"/>
    <mergeCell ref="J21:L21"/>
    <mergeCell ref="C18:E18"/>
    <mergeCell ref="G18:I18"/>
    <mergeCell ref="J18:L18"/>
    <mergeCell ref="C19:E19"/>
    <mergeCell ref="G19:I19"/>
    <mergeCell ref="J19:L19"/>
    <mergeCell ref="B15:L15"/>
    <mergeCell ref="C16:E16"/>
    <mergeCell ref="G16:I16"/>
    <mergeCell ref="J16:L16"/>
    <mergeCell ref="C17:E17"/>
    <mergeCell ref="G17:I17"/>
    <mergeCell ref="J17:L17"/>
    <mergeCell ref="C13:F13"/>
    <mergeCell ref="G13:H14"/>
    <mergeCell ref="I13:J13"/>
    <mergeCell ref="K13:L13"/>
    <mergeCell ref="C14:D14"/>
    <mergeCell ref="I14:J14"/>
    <mergeCell ref="K14:L14"/>
    <mergeCell ref="B12:F12"/>
    <mergeCell ref="G12:H12"/>
    <mergeCell ref="I12:L12"/>
    <mergeCell ref="B7:F7"/>
    <mergeCell ref="G7:L7"/>
    <mergeCell ref="G8:L8"/>
    <mergeCell ref="G9:L9"/>
    <mergeCell ref="B10:D10"/>
    <mergeCell ref="E10:F10"/>
    <mergeCell ref="G10:I10"/>
    <mergeCell ref="J10:L10"/>
    <mergeCell ref="B8:F8"/>
    <mergeCell ref="B9:F9"/>
    <mergeCell ref="B2:L2"/>
    <mergeCell ref="B3:L3"/>
    <mergeCell ref="B4:L4"/>
    <mergeCell ref="B5:L5"/>
    <mergeCell ref="B6:D6"/>
    <mergeCell ref="E6:F6"/>
    <mergeCell ref="G6:I6"/>
    <mergeCell ref="J6:L6"/>
    <mergeCell ref="B11:D11"/>
    <mergeCell ref="E11:F11"/>
    <mergeCell ref="G11:I11"/>
    <mergeCell ref="J11:L11"/>
    <mergeCell ref="D137:E137"/>
    <mergeCell ref="B77:H77"/>
    <mergeCell ref="B94:L94"/>
    <mergeCell ref="B95:L95"/>
    <mergeCell ref="B124:J124"/>
    <mergeCell ref="B125:J125"/>
    <mergeCell ref="B126:J126"/>
    <mergeCell ref="B127:J127"/>
    <mergeCell ref="B128:J128"/>
    <mergeCell ref="B129:J129"/>
    <mergeCell ref="B87:H87"/>
    <mergeCell ref="B89:J89"/>
    <mergeCell ref="G90:J91"/>
    <mergeCell ref="G92:J92"/>
    <mergeCell ref="I84:J86"/>
    <mergeCell ref="K97:L110"/>
    <mergeCell ref="I97:J110"/>
    <mergeCell ref="G79:H81"/>
    <mergeCell ref="E82:F82"/>
    <mergeCell ref="E81:F81"/>
    <mergeCell ref="E80:F80"/>
    <mergeCell ref="B81:D81"/>
    <mergeCell ref="B82:D82"/>
    <mergeCell ref="G82:H82"/>
  </mergeCells>
  <pageMargins left="0.70866141732283472" right="0.70866141732283472" top="0.74803149606299213" bottom="0.74803149606299213" header="0.31496062992125984" footer="0.31496062992125984"/>
  <pageSetup paperSize="9" orientation="portrait" blackAndWhite="1" verticalDpi="0" r:id="rId1"/>
  <drawing r:id="rId2"/>
  <legacyDrawing r:id="rId3"/>
  <controls>
    <mc:AlternateContent xmlns:mc="http://schemas.openxmlformats.org/markup-compatibility/2006">
      <mc:Choice Requires="x14">
        <control shapeId="23557" r:id="rId4" name="CommandButton4">
          <controlPr defaultSize="0" autoLine="0" r:id="rId5">
            <anchor moveWithCells="1">
              <from>
                <xdr:col>20</xdr:col>
                <xdr:colOff>106680</xdr:colOff>
                <xdr:row>15</xdr:row>
                <xdr:rowOff>60960</xdr:rowOff>
              </from>
              <to>
                <xdr:col>21</xdr:col>
                <xdr:colOff>510540</xdr:colOff>
                <xdr:row>15</xdr:row>
                <xdr:rowOff>335280</xdr:rowOff>
              </to>
            </anchor>
          </controlPr>
        </control>
      </mc:Choice>
      <mc:Fallback>
        <control shapeId="23557" r:id="rId4" name="CommandButton4"/>
      </mc:Fallback>
    </mc:AlternateContent>
    <mc:AlternateContent xmlns:mc="http://schemas.openxmlformats.org/markup-compatibility/2006">
      <mc:Choice Requires="x14">
        <control shapeId="23556" r:id="rId6" name="CommandButton3">
          <controlPr defaultSize="0" autoLine="0" r:id="rId7">
            <anchor moveWithCells="1">
              <from>
                <xdr:col>18</xdr:col>
                <xdr:colOff>144780</xdr:colOff>
                <xdr:row>15</xdr:row>
                <xdr:rowOff>76200</xdr:rowOff>
              </from>
              <to>
                <xdr:col>19</xdr:col>
                <xdr:colOff>548640</xdr:colOff>
                <xdr:row>15</xdr:row>
                <xdr:rowOff>350520</xdr:rowOff>
              </to>
            </anchor>
          </controlPr>
        </control>
      </mc:Choice>
      <mc:Fallback>
        <control shapeId="23556" r:id="rId6" name="CommandButton3"/>
      </mc:Fallback>
    </mc:AlternateContent>
    <mc:AlternateContent xmlns:mc="http://schemas.openxmlformats.org/markup-compatibility/2006">
      <mc:Choice Requires="x14">
        <control shapeId="23554" r:id="rId8" name="CommandButton2">
          <controlPr defaultSize="0" autoLine="0" r:id="rId9">
            <anchor moveWithCells="1">
              <from>
                <xdr:col>16</xdr:col>
                <xdr:colOff>60960</xdr:colOff>
                <xdr:row>15</xdr:row>
                <xdr:rowOff>83820</xdr:rowOff>
              </from>
              <to>
                <xdr:col>17</xdr:col>
                <xdr:colOff>457200</xdr:colOff>
                <xdr:row>15</xdr:row>
                <xdr:rowOff>381000</xdr:rowOff>
              </to>
            </anchor>
          </controlPr>
        </control>
      </mc:Choice>
      <mc:Fallback>
        <control shapeId="23554" r:id="rId8" name="CommandButton2"/>
      </mc:Fallback>
    </mc:AlternateContent>
    <mc:AlternateContent xmlns:mc="http://schemas.openxmlformats.org/markup-compatibility/2006">
      <mc:Choice Requires="x14">
        <control shapeId="23553" r:id="rId10" name="CommandButton1">
          <controlPr defaultSize="0" autoLine="0" altText="Hide Bin Details" r:id="rId11">
            <anchor moveWithCells="1">
              <from>
                <xdr:col>14</xdr:col>
                <xdr:colOff>121920</xdr:colOff>
                <xdr:row>15</xdr:row>
                <xdr:rowOff>99060</xdr:rowOff>
              </from>
              <to>
                <xdr:col>15</xdr:col>
                <xdr:colOff>525780</xdr:colOff>
                <xdr:row>15</xdr:row>
                <xdr:rowOff>396240</xdr:rowOff>
              </to>
            </anchor>
          </controlPr>
        </control>
      </mc:Choice>
      <mc:Fallback>
        <control shapeId="23553" r:id="rId10" name="CommandButton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FF0000"/>
  </sheetPr>
  <dimension ref="A1:U33"/>
  <sheetViews>
    <sheetView showGridLines="0" topLeftCell="A15" workbookViewId="0">
      <selection activeCell="P35" sqref="P35"/>
    </sheetView>
  </sheetViews>
  <sheetFormatPr defaultRowHeight="14.4"/>
  <cols>
    <col min="1" max="1" width="2.77734375" customWidth="1"/>
    <col min="4" max="4" width="7" customWidth="1"/>
    <col min="5" max="5" width="7.77734375" customWidth="1"/>
    <col min="8" max="8" width="7.5546875" customWidth="1"/>
    <col min="11" max="11" width="5.5546875" customWidth="1"/>
    <col min="12" max="12" width="3.5546875" customWidth="1"/>
    <col min="16" max="16" width="17" customWidth="1"/>
    <col min="21" max="21" width="3.44140625" customWidth="1"/>
  </cols>
  <sheetData>
    <row r="1" spans="1:21" ht="15" thickBot="1">
      <c r="A1" s="449"/>
      <c r="B1" s="449"/>
      <c r="C1" s="449"/>
      <c r="D1" s="449"/>
      <c r="E1" s="449"/>
      <c r="F1" s="449"/>
      <c r="G1" s="449"/>
      <c r="H1" s="449"/>
      <c r="I1" s="449"/>
      <c r="J1" s="449"/>
      <c r="K1" s="449"/>
      <c r="L1" s="449"/>
      <c r="M1" s="449"/>
      <c r="N1" s="449"/>
      <c r="O1" s="449"/>
      <c r="P1" s="449"/>
      <c r="Q1" s="449"/>
      <c r="R1" s="449"/>
      <c r="S1" s="449"/>
      <c r="T1" s="449"/>
      <c r="U1" s="449"/>
    </row>
    <row r="2" spans="1:21" ht="20.399999999999999">
      <c r="A2" s="449"/>
      <c r="B2" s="1296" t="s">
        <v>659</v>
      </c>
      <c r="C2" s="1297"/>
      <c r="D2" s="1297"/>
      <c r="E2" s="1297"/>
      <c r="F2" s="1297"/>
      <c r="G2" s="1297"/>
      <c r="H2" s="1297"/>
      <c r="I2" s="1297"/>
      <c r="J2" s="1297"/>
      <c r="K2" s="1297"/>
      <c r="L2" s="1297"/>
      <c r="M2" s="1297"/>
      <c r="N2" s="1297"/>
      <c r="O2" s="1298"/>
      <c r="P2" s="543"/>
      <c r="Q2" s="1299" t="s">
        <v>660</v>
      </c>
      <c r="R2" s="1300"/>
      <c r="S2" s="1300"/>
      <c r="T2" s="1301"/>
      <c r="U2" s="449"/>
    </row>
    <row r="3" spans="1:21">
      <c r="A3" s="449"/>
      <c r="B3" s="1305" t="s">
        <v>661</v>
      </c>
      <c r="C3" s="1306"/>
      <c r="D3" s="1307"/>
      <c r="E3" s="1308" t="str">
        <f>'Gen Info'!C5</f>
        <v>HANS RAJ JOSHI</v>
      </c>
      <c r="F3" s="1309"/>
      <c r="G3" s="1309"/>
      <c r="H3" s="1309"/>
      <c r="I3" s="1309"/>
      <c r="J3" s="1309"/>
      <c r="K3" s="1309"/>
      <c r="L3" s="1309"/>
      <c r="M3" s="1309"/>
      <c r="N3" s="1309"/>
      <c r="O3" s="1310"/>
      <c r="P3" s="544"/>
      <c r="Q3" s="1302"/>
      <c r="R3" s="1303"/>
      <c r="S3" s="1303"/>
      <c r="T3" s="1304"/>
      <c r="U3" s="449"/>
    </row>
    <row r="4" spans="1:21">
      <c r="A4" s="449"/>
      <c r="B4" s="1311" t="s">
        <v>662</v>
      </c>
      <c r="C4" s="1312"/>
      <c r="D4" s="1313"/>
      <c r="E4" s="1314" t="str">
        <f>'Gen Info'!F6</f>
        <v>GOVT SENIOR SECONDARY SCHOOL RAJPURA PIPERAN,SRI GANGANAGAR</v>
      </c>
      <c r="F4" s="1315"/>
      <c r="G4" s="1315"/>
      <c r="H4" s="1315"/>
      <c r="I4" s="1315"/>
      <c r="J4" s="1315"/>
      <c r="K4" s="1315"/>
      <c r="L4" s="1315"/>
      <c r="M4" s="1315"/>
      <c r="N4" s="1315"/>
      <c r="O4" s="1316"/>
      <c r="P4" s="545">
        <v>2</v>
      </c>
      <c r="Q4" s="1293"/>
      <c r="R4" s="1294"/>
      <c r="S4" s="1294"/>
      <c r="T4" s="1295"/>
      <c r="U4" s="449"/>
    </row>
    <row r="5" spans="1:21">
      <c r="A5" s="449"/>
      <c r="B5" s="1311" t="s">
        <v>663</v>
      </c>
      <c r="C5" s="1312"/>
      <c r="D5" s="1313"/>
      <c r="E5" s="1317" t="str">
        <f>'Gen Info'!C9</f>
        <v>XXXXX1234X</v>
      </c>
      <c r="F5" s="1318"/>
      <c r="G5" s="1318"/>
      <c r="H5" s="1319"/>
      <c r="I5" s="1320" t="s">
        <v>664</v>
      </c>
      <c r="J5" s="1321"/>
      <c r="K5" s="1321"/>
      <c r="L5" s="1322"/>
      <c r="M5" s="1323" t="str">
        <f>IF(Master!M93=1,"Individual below 60 Yrs",IF(Master!M93=2,"Senior citizen above 60 Yrs","Super Sr Citizen above 80 yrs"))</f>
        <v>Individual below 60 Yrs</v>
      </c>
      <c r="N5" s="1321"/>
      <c r="O5" s="1324"/>
      <c r="P5" s="544"/>
      <c r="Q5" s="1325" t="s">
        <v>726</v>
      </c>
      <c r="R5" s="1326"/>
      <c r="S5" s="1326"/>
      <c r="T5" s="1327"/>
      <c r="U5" s="449"/>
    </row>
    <row r="6" spans="1:21">
      <c r="A6" s="449"/>
      <c r="B6" s="1332" t="s">
        <v>735</v>
      </c>
      <c r="C6" s="1333"/>
      <c r="D6" s="1333"/>
      <c r="E6" s="1333"/>
      <c r="F6" s="1333"/>
      <c r="G6" s="1333"/>
      <c r="H6" s="1333"/>
      <c r="I6" s="1333"/>
      <c r="J6" s="1333"/>
      <c r="K6" s="1333"/>
      <c r="L6" s="1334"/>
      <c r="M6" s="1335" t="s">
        <v>725</v>
      </c>
      <c r="N6" s="1333"/>
      <c r="O6" s="1336"/>
      <c r="P6" s="544"/>
      <c r="Q6" s="1328"/>
      <c r="R6" s="1329"/>
      <c r="S6" s="1329"/>
      <c r="T6" s="1330"/>
      <c r="U6" s="449"/>
    </row>
    <row r="7" spans="1:21">
      <c r="A7" s="449"/>
      <c r="B7" s="1368" t="s">
        <v>736</v>
      </c>
      <c r="C7" s="1369"/>
      <c r="D7" s="1369"/>
      <c r="E7" s="1369"/>
      <c r="F7" s="1369"/>
      <c r="G7" s="1369"/>
      <c r="H7" s="1369"/>
      <c r="I7" s="1369"/>
      <c r="J7" s="1369"/>
      <c r="K7" s="1369"/>
      <c r="L7" s="1370"/>
      <c r="M7" s="1371"/>
      <c r="N7" s="1372"/>
      <c r="O7" s="1373"/>
      <c r="P7" s="544"/>
      <c r="Q7" s="1328"/>
      <c r="R7" s="1329"/>
      <c r="S7" s="1329"/>
      <c r="T7" s="1330"/>
      <c r="U7" s="449"/>
    </row>
    <row r="8" spans="1:21">
      <c r="A8" s="449"/>
      <c r="B8" s="1340" t="s">
        <v>737</v>
      </c>
      <c r="C8" s="1321"/>
      <c r="D8" s="1321"/>
      <c r="E8" s="1321"/>
      <c r="F8" s="1321"/>
      <c r="G8" s="1321"/>
      <c r="H8" s="1321"/>
      <c r="I8" s="1321"/>
      <c r="J8" s="1321"/>
      <c r="K8" s="1321"/>
      <c r="L8" s="1341"/>
      <c r="M8" s="1342"/>
      <c r="N8" s="1343"/>
      <c r="O8" s="1344"/>
      <c r="P8" s="544"/>
      <c r="Q8" s="1328"/>
      <c r="R8" s="1329"/>
      <c r="S8" s="1329"/>
      <c r="T8" s="1330"/>
      <c r="U8" s="449"/>
    </row>
    <row r="9" spans="1:21" ht="19.05" customHeight="1">
      <c r="A9" s="449"/>
      <c r="B9" s="1332" t="s">
        <v>665</v>
      </c>
      <c r="C9" s="1333"/>
      <c r="D9" s="1333"/>
      <c r="E9" s="1333"/>
      <c r="F9" s="1333"/>
      <c r="G9" s="1333"/>
      <c r="H9" s="1333"/>
      <c r="I9" s="1333"/>
      <c r="J9" s="1333"/>
      <c r="K9" s="1333"/>
      <c r="L9" s="1334"/>
      <c r="M9" s="1335" t="s">
        <v>725</v>
      </c>
      <c r="N9" s="1333"/>
      <c r="O9" s="1336"/>
      <c r="P9" s="544"/>
      <c r="Q9" s="1331"/>
      <c r="R9" s="1329"/>
      <c r="S9" s="1329"/>
      <c r="T9" s="1330"/>
      <c r="U9" s="449"/>
    </row>
    <row r="10" spans="1:21" ht="19.05" customHeight="1">
      <c r="A10" s="449"/>
      <c r="B10" s="1368" t="s">
        <v>667</v>
      </c>
      <c r="C10" s="1369"/>
      <c r="D10" s="1369"/>
      <c r="E10" s="1369"/>
      <c r="F10" s="1369"/>
      <c r="G10" s="1369"/>
      <c r="H10" s="1369"/>
      <c r="I10" s="1369"/>
      <c r="J10" s="1369"/>
      <c r="K10" s="1369"/>
      <c r="L10" s="1370"/>
      <c r="M10" s="1371">
        <v>400000</v>
      </c>
      <c r="N10" s="1372"/>
      <c r="O10" s="1373"/>
      <c r="P10" s="544"/>
      <c r="Q10" s="1302"/>
      <c r="R10" s="1303"/>
      <c r="S10" s="1303"/>
      <c r="T10" s="1304"/>
      <c r="U10" s="449"/>
    </row>
    <row r="11" spans="1:21" ht="19.05" customHeight="1">
      <c r="A11" s="449"/>
      <c r="B11" s="1340" t="s">
        <v>668</v>
      </c>
      <c r="C11" s="1321"/>
      <c r="D11" s="1321"/>
      <c r="E11" s="1321"/>
      <c r="F11" s="1321"/>
      <c r="G11" s="1321"/>
      <c r="H11" s="1321"/>
      <c r="I11" s="1321"/>
      <c r="J11" s="1321"/>
      <c r="K11" s="1321"/>
      <c r="L11" s="1341"/>
      <c r="M11" s="1342">
        <v>30000</v>
      </c>
      <c r="N11" s="1343"/>
      <c r="O11" s="1344"/>
      <c r="P11" s="544"/>
      <c r="Q11" s="1293"/>
      <c r="R11" s="1294"/>
      <c r="S11" s="1294"/>
      <c r="T11" s="1295"/>
      <c r="U11" s="449"/>
    </row>
    <row r="12" spans="1:21" ht="19.05" customHeight="1">
      <c r="A12" s="449"/>
      <c r="B12" s="1363" t="s">
        <v>669</v>
      </c>
      <c r="C12" s="1364"/>
      <c r="D12" s="1364"/>
      <c r="E12" s="1364"/>
      <c r="F12" s="1364"/>
      <c r="G12" s="1364"/>
      <c r="H12" s="1364"/>
      <c r="I12" s="1364"/>
      <c r="J12" s="1364"/>
      <c r="K12" s="1364"/>
      <c r="L12" s="1365"/>
      <c r="M12" s="1366" t="s">
        <v>725</v>
      </c>
      <c r="N12" s="1364"/>
      <c r="O12" s="1367"/>
      <c r="P12" s="544"/>
      <c r="Q12" s="1325" t="s">
        <v>666</v>
      </c>
      <c r="R12" s="1326"/>
      <c r="S12" s="1326"/>
      <c r="T12" s="1327"/>
      <c r="U12" s="449"/>
    </row>
    <row r="13" spans="1:21" ht="19.05" customHeight="1">
      <c r="A13" s="449"/>
      <c r="B13" s="1368" t="s">
        <v>670</v>
      </c>
      <c r="C13" s="1369"/>
      <c r="D13" s="1369"/>
      <c r="E13" s="1369"/>
      <c r="F13" s="1369"/>
      <c r="G13" s="1369"/>
      <c r="H13" s="1369"/>
      <c r="I13" s="1369"/>
      <c r="J13" s="1369"/>
      <c r="K13" s="1369"/>
      <c r="L13" s="1370"/>
      <c r="M13" s="1371">
        <v>700000</v>
      </c>
      <c r="N13" s="1372"/>
      <c r="O13" s="1373"/>
      <c r="P13" s="544"/>
      <c r="Q13" s="1331"/>
      <c r="R13" s="1329"/>
      <c r="S13" s="1329"/>
      <c r="T13" s="1330"/>
      <c r="U13" s="449"/>
    </row>
    <row r="14" spans="1:21" ht="19.05" customHeight="1">
      <c r="A14" s="449"/>
      <c r="B14" s="1340" t="s">
        <v>671</v>
      </c>
      <c r="C14" s="1321"/>
      <c r="D14" s="1321"/>
      <c r="E14" s="1321"/>
      <c r="F14" s="1321"/>
      <c r="G14" s="1321"/>
      <c r="H14" s="1321"/>
      <c r="I14" s="1321"/>
      <c r="J14" s="1321"/>
      <c r="K14" s="1321"/>
      <c r="L14" s="1341"/>
      <c r="M14" s="1342">
        <v>40000</v>
      </c>
      <c r="N14" s="1343"/>
      <c r="O14" s="1344"/>
      <c r="P14" s="544"/>
      <c r="Q14" s="1302"/>
      <c r="R14" s="1303"/>
      <c r="S14" s="1303"/>
      <c r="T14" s="1304"/>
      <c r="U14" s="449"/>
    </row>
    <row r="15" spans="1:21" ht="19.05" customHeight="1" thickBot="1">
      <c r="A15" s="449"/>
      <c r="B15" s="1363" t="s">
        <v>672</v>
      </c>
      <c r="C15" s="1364"/>
      <c r="D15" s="1364"/>
      <c r="E15" s="1364"/>
      <c r="F15" s="1364"/>
      <c r="G15" s="1364"/>
      <c r="H15" s="1364"/>
      <c r="I15" s="1364"/>
      <c r="J15" s="1364"/>
      <c r="K15" s="1364"/>
      <c r="L15" s="1365"/>
      <c r="M15" s="1366" t="s">
        <v>725</v>
      </c>
      <c r="N15" s="1364"/>
      <c r="O15" s="1367"/>
      <c r="P15" s="544"/>
      <c r="Q15" s="1293"/>
      <c r="R15" s="1294"/>
      <c r="S15" s="1294"/>
      <c r="T15" s="1295"/>
      <c r="U15" s="449"/>
    </row>
    <row r="16" spans="1:21" ht="19.05" customHeight="1">
      <c r="A16" s="449"/>
      <c r="B16" s="1368" t="s">
        <v>673</v>
      </c>
      <c r="C16" s="1369"/>
      <c r="D16" s="1369"/>
      <c r="E16" s="1369"/>
      <c r="F16" s="1369"/>
      <c r="G16" s="1369"/>
      <c r="H16" s="1369"/>
      <c r="I16" s="1369"/>
      <c r="J16" s="1369"/>
      <c r="K16" s="1369"/>
      <c r="L16" s="1370"/>
      <c r="M16" s="1371">
        <v>850000</v>
      </c>
      <c r="N16" s="1372"/>
      <c r="O16" s="1373"/>
      <c r="P16" s="544"/>
      <c r="Q16" s="1299" t="s">
        <v>727</v>
      </c>
      <c r="R16" s="1300"/>
      <c r="S16" s="1300"/>
      <c r="T16" s="1301"/>
      <c r="U16" s="449"/>
    </row>
    <row r="17" spans="1:21" ht="19.05" customHeight="1" thickBot="1">
      <c r="A17" s="449"/>
      <c r="B17" s="1340" t="s">
        <v>674</v>
      </c>
      <c r="C17" s="1321"/>
      <c r="D17" s="1321"/>
      <c r="E17" s="1321"/>
      <c r="F17" s="1321"/>
      <c r="G17" s="1321"/>
      <c r="H17" s="1321"/>
      <c r="I17" s="1321"/>
      <c r="J17" s="1321"/>
      <c r="K17" s="1321"/>
      <c r="L17" s="1341"/>
      <c r="M17" s="1342">
        <v>50000</v>
      </c>
      <c r="N17" s="1343"/>
      <c r="O17" s="1344"/>
      <c r="P17" s="551" t="s">
        <v>728</v>
      </c>
      <c r="Q17" s="1331"/>
      <c r="R17" s="1329"/>
      <c r="S17" s="1329"/>
      <c r="T17" s="1330"/>
      <c r="U17" s="449"/>
    </row>
    <row r="18" spans="1:21" ht="19.05" customHeight="1">
      <c r="A18" s="449"/>
      <c r="B18" s="1345" t="s">
        <v>675</v>
      </c>
      <c r="C18" s="1306"/>
      <c r="D18" s="1306"/>
      <c r="E18" s="1306"/>
      <c r="F18" s="1306"/>
      <c r="G18" s="1306"/>
      <c r="H18" s="1306"/>
      <c r="I18" s="1306"/>
      <c r="J18" s="1306"/>
      <c r="K18" s="1306"/>
      <c r="L18" s="1346"/>
      <c r="M18" s="1347" t="s">
        <v>725</v>
      </c>
      <c r="N18" s="1306"/>
      <c r="O18" s="1306"/>
      <c r="P18" s="1351" t="s">
        <v>723</v>
      </c>
      <c r="Q18" s="1329"/>
      <c r="R18" s="1329"/>
      <c r="S18" s="1329"/>
      <c r="T18" s="1330"/>
      <c r="U18" s="449"/>
    </row>
    <row r="19" spans="1:21" ht="19.05" customHeight="1">
      <c r="A19" s="449"/>
      <c r="B19" s="1348" t="s">
        <v>676</v>
      </c>
      <c r="C19" s="1349"/>
      <c r="D19" s="1349"/>
      <c r="E19" s="1349"/>
      <c r="F19" s="1349"/>
      <c r="G19" s="1349"/>
      <c r="H19" s="1349"/>
      <c r="I19" s="1349"/>
      <c r="J19" s="1349"/>
      <c r="K19" s="1349"/>
      <c r="L19" s="1350"/>
      <c r="M19" s="1375">
        <v>510000</v>
      </c>
      <c r="N19" s="1376"/>
      <c r="O19" s="1376"/>
      <c r="P19" s="1352"/>
      <c r="Q19" s="1329"/>
      <c r="R19" s="1329"/>
      <c r="S19" s="1329"/>
      <c r="T19" s="1330"/>
      <c r="U19" s="449"/>
    </row>
    <row r="20" spans="1:21" ht="19.05" customHeight="1" thickBot="1">
      <c r="A20" s="449"/>
      <c r="B20" s="1340" t="s">
        <v>677</v>
      </c>
      <c r="C20" s="1321"/>
      <c r="D20" s="1321"/>
      <c r="E20" s="1321"/>
      <c r="F20" s="1321"/>
      <c r="G20" s="1321"/>
      <c r="H20" s="1321"/>
      <c r="I20" s="1321"/>
      <c r="J20" s="1321"/>
      <c r="K20" s="1321"/>
      <c r="L20" s="1341"/>
      <c r="M20" s="1342">
        <v>60000</v>
      </c>
      <c r="N20" s="1343"/>
      <c r="O20" s="1343"/>
      <c r="P20" s="1353"/>
      <c r="Q20" s="1329"/>
      <c r="R20" s="1329"/>
      <c r="S20" s="1329"/>
      <c r="T20" s="1330"/>
      <c r="U20" s="449"/>
    </row>
    <row r="21" spans="1:21" ht="19.05" customHeight="1">
      <c r="A21" s="449"/>
      <c r="B21" s="1345" t="s">
        <v>722</v>
      </c>
      <c r="C21" s="1306"/>
      <c r="D21" s="1306"/>
      <c r="E21" s="1306"/>
      <c r="F21" s="1306"/>
      <c r="G21" s="1306"/>
      <c r="H21" s="1306"/>
      <c r="I21" s="1306"/>
      <c r="J21" s="1306"/>
      <c r="K21" s="1306"/>
      <c r="L21" s="1346"/>
      <c r="M21" s="1347" t="s">
        <v>725</v>
      </c>
      <c r="N21" s="1306"/>
      <c r="O21" s="1306"/>
      <c r="P21" s="1291"/>
      <c r="Q21" s="1329"/>
      <c r="R21" s="1329"/>
      <c r="S21" s="1329"/>
      <c r="T21" s="1330"/>
      <c r="U21" s="449"/>
    </row>
    <row r="22" spans="1:21" ht="19.05" customHeight="1">
      <c r="A22" s="449"/>
      <c r="B22" s="1348" t="s">
        <v>924</v>
      </c>
      <c r="C22" s="1349"/>
      <c r="D22" s="1349"/>
      <c r="E22" s="1349"/>
      <c r="F22" s="1349"/>
      <c r="G22" s="1349"/>
      <c r="H22" s="1349"/>
      <c r="I22" s="1349"/>
      <c r="J22" s="1349"/>
      <c r="K22" s="1349"/>
      <c r="L22" s="1350"/>
      <c r="M22" s="1375">
        <v>510000</v>
      </c>
      <c r="N22" s="1376"/>
      <c r="O22" s="1376"/>
      <c r="P22" s="1292"/>
      <c r="Q22" s="1329"/>
      <c r="R22" s="1329"/>
      <c r="S22" s="1329"/>
      <c r="T22" s="1330"/>
      <c r="U22" s="449"/>
    </row>
    <row r="23" spans="1:21" ht="19.05" customHeight="1" thickBot="1">
      <c r="A23" s="449"/>
      <c r="B23" s="1340" t="s">
        <v>925</v>
      </c>
      <c r="C23" s="1321"/>
      <c r="D23" s="1321"/>
      <c r="E23" s="1321"/>
      <c r="F23" s="1321"/>
      <c r="G23" s="1321"/>
      <c r="H23" s="1321"/>
      <c r="I23" s="1321"/>
      <c r="J23" s="1321"/>
      <c r="K23" s="1321"/>
      <c r="L23" s="1341"/>
      <c r="M23" s="1342">
        <v>60000</v>
      </c>
      <c r="N23" s="1343"/>
      <c r="O23" s="1343"/>
      <c r="P23" s="1292"/>
      <c r="Q23" s="1329"/>
      <c r="R23" s="1329"/>
      <c r="S23" s="1329"/>
      <c r="T23" s="1330"/>
      <c r="U23" s="449"/>
    </row>
    <row r="24" spans="1:21" ht="19.05" customHeight="1">
      <c r="A24" s="449"/>
      <c r="B24" s="1345" t="s">
        <v>929</v>
      </c>
      <c r="C24" s="1306"/>
      <c r="D24" s="1306"/>
      <c r="E24" s="1306"/>
      <c r="F24" s="1306"/>
      <c r="G24" s="1306"/>
      <c r="H24" s="1306"/>
      <c r="I24" s="1306"/>
      <c r="J24" s="1306"/>
      <c r="K24" s="1306"/>
      <c r="L24" s="1346"/>
      <c r="M24" s="1347" t="s">
        <v>725</v>
      </c>
      <c r="N24" s="1306"/>
      <c r="O24" s="1306"/>
      <c r="P24" s="624"/>
      <c r="Q24" s="1329"/>
      <c r="R24" s="1329"/>
      <c r="S24" s="1329"/>
      <c r="T24" s="1330"/>
      <c r="U24" s="449"/>
    </row>
    <row r="25" spans="1:21" ht="19.05" customHeight="1">
      <c r="A25" s="449"/>
      <c r="B25" s="1348" t="s">
        <v>945</v>
      </c>
      <c r="C25" s="1349"/>
      <c r="D25" s="1349"/>
      <c r="E25" s="1349"/>
      <c r="F25" s="1349"/>
      <c r="G25" s="1349"/>
      <c r="H25" s="1349"/>
      <c r="I25" s="1349"/>
      <c r="J25" s="1349"/>
      <c r="K25" s="1349"/>
      <c r="L25" s="1350"/>
      <c r="M25" s="1375">
        <v>650000</v>
      </c>
      <c r="N25" s="1376"/>
      <c r="O25" s="1376"/>
      <c r="P25" s="625"/>
      <c r="Q25" s="1329"/>
      <c r="R25" s="1329"/>
      <c r="S25" s="1329"/>
      <c r="T25" s="1330"/>
      <c r="U25" s="449"/>
    </row>
    <row r="26" spans="1:21" ht="19.05" customHeight="1" thickBot="1">
      <c r="A26" s="449"/>
      <c r="B26" s="1340" t="s">
        <v>946</v>
      </c>
      <c r="C26" s="1321"/>
      <c r="D26" s="1321"/>
      <c r="E26" s="1321"/>
      <c r="F26" s="1321"/>
      <c r="G26" s="1321"/>
      <c r="H26" s="1321"/>
      <c r="I26" s="1321"/>
      <c r="J26" s="1321"/>
      <c r="K26" s="1321"/>
      <c r="L26" s="1341"/>
      <c r="M26" s="1342">
        <v>60000</v>
      </c>
      <c r="N26" s="1343"/>
      <c r="O26" s="1343"/>
      <c r="P26" s="626"/>
      <c r="Q26" s="1329"/>
      <c r="R26" s="1329"/>
      <c r="S26" s="1329"/>
      <c r="T26" s="1330"/>
      <c r="U26" s="449"/>
    </row>
    <row r="27" spans="1:21" ht="19.05" customHeight="1">
      <c r="A27" s="449"/>
      <c r="B27" s="1345" t="s">
        <v>944</v>
      </c>
      <c r="C27" s="1306"/>
      <c r="D27" s="1306"/>
      <c r="E27" s="1306"/>
      <c r="F27" s="1306"/>
      <c r="G27" s="1306"/>
      <c r="H27" s="1306"/>
      <c r="I27" s="1306"/>
      <c r="J27" s="1306"/>
      <c r="K27" s="1306"/>
      <c r="L27" s="1346"/>
      <c r="M27" s="1347" t="s">
        <v>725</v>
      </c>
      <c r="N27" s="1306"/>
      <c r="O27" s="1374"/>
      <c r="P27" s="624"/>
      <c r="Q27" s="1331"/>
      <c r="R27" s="1329"/>
      <c r="S27" s="1329"/>
      <c r="T27" s="1330"/>
      <c r="U27" s="449"/>
    </row>
    <row r="28" spans="1:21" ht="19.05" customHeight="1">
      <c r="A28" s="449"/>
      <c r="B28" s="1348" t="s">
        <v>1000</v>
      </c>
      <c r="C28" s="1349"/>
      <c r="D28" s="1349"/>
      <c r="E28" s="1349"/>
      <c r="F28" s="1349"/>
      <c r="G28" s="1349"/>
      <c r="H28" s="1349"/>
      <c r="I28" s="1349"/>
      <c r="J28" s="1349"/>
      <c r="K28" s="1349"/>
      <c r="L28" s="1350"/>
      <c r="M28" s="1375">
        <v>670000</v>
      </c>
      <c r="N28" s="1376"/>
      <c r="O28" s="1376"/>
      <c r="P28" s="625"/>
      <c r="Q28" s="1331"/>
      <c r="R28" s="1329"/>
      <c r="S28" s="1329"/>
      <c r="T28" s="1330"/>
      <c r="U28" s="449"/>
    </row>
    <row r="29" spans="1:21" ht="19.05" customHeight="1" thickBot="1">
      <c r="A29" s="449"/>
      <c r="B29" s="1340" t="s">
        <v>1001</v>
      </c>
      <c r="C29" s="1321"/>
      <c r="D29" s="1321"/>
      <c r="E29" s="1321"/>
      <c r="F29" s="1321"/>
      <c r="G29" s="1321"/>
      <c r="H29" s="1321"/>
      <c r="I29" s="1321"/>
      <c r="J29" s="1321"/>
      <c r="K29" s="1321"/>
      <c r="L29" s="1341"/>
      <c r="M29" s="1375">
        <v>7000</v>
      </c>
      <c r="N29" s="1376"/>
      <c r="O29" s="1376"/>
      <c r="P29" s="626"/>
      <c r="Q29" s="1331"/>
      <c r="R29" s="1329"/>
      <c r="S29" s="1329"/>
      <c r="T29" s="1330"/>
      <c r="U29" s="449"/>
    </row>
    <row r="30" spans="1:21" ht="19.05" customHeight="1">
      <c r="A30" s="449"/>
      <c r="B30" s="1345" t="s">
        <v>998</v>
      </c>
      <c r="C30" s="1306"/>
      <c r="D30" s="1306"/>
      <c r="E30" s="1306"/>
      <c r="F30" s="1306"/>
      <c r="G30" s="1306"/>
      <c r="H30" s="1306"/>
      <c r="I30" s="1306"/>
      <c r="J30" s="1306"/>
      <c r="K30" s="1306"/>
      <c r="L30" s="1346"/>
      <c r="M30" s="1347" t="s">
        <v>725</v>
      </c>
      <c r="N30" s="1306"/>
      <c r="O30" s="1374"/>
      <c r="P30" s="1377" t="s">
        <v>1003</v>
      </c>
      <c r="Q30" s="1331"/>
      <c r="R30" s="1329"/>
      <c r="S30" s="1329"/>
      <c r="T30" s="1330"/>
      <c r="U30" s="449"/>
    </row>
    <row r="31" spans="1:21" ht="19.05" customHeight="1" thickBot="1">
      <c r="A31" s="449"/>
      <c r="B31" s="1357" t="s">
        <v>999</v>
      </c>
      <c r="C31" s="1358"/>
      <c r="D31" s="1358"/>
      <c r="E31" s="1358"/>
      <c r="F31" s="1358"/>
      <c r="G31" s="1358"/>
      <c r="H31" s="1358"/>
      <c r="I31" s="1358"/>
      <c r="J31" s="1358"/>
      <c r="K31" s="1358"/>
      <c r="L31" s="1359"/>
      <c r="M31" s="1360">
        <f>Assesment!Q52</f>
        <v>565000</v>
      </c>
      <c r="N31" s="1361"/>
      <c r="O31" s="1362"/>
      <c r="P31" s="1378"/>
      <c r="Q31" s="1331"/>
      <c r="R31" s="1329"/>
      <c r="S31" s="1329"/>
      <c r="T31" s="1330"/>
      <c r="U31" s="449"/>
    </row>
    <row r="32" spans="1:21" ht="49.05" customHeight="1" thickBot="1">
      <c r="A32" s="449"/>
      <c r="B32" s="1354"/>
      <c r="C32" s="1355"/>
      <c r="D32" s="1355"/>
      <c r="E32" s="1355"/>
      <c r="F32" s="1355"/>
      <c r="G32" s="1355"/>
      <c r="H32" s="1355"/>
      <c r="I32" s="1355"/>
      <c r="J32" s="1355"/>
      <c r="K32" s="1355"/>
      <c r="L32" s="1355"/>
      <c r="M32" s="1355"/>
      <c r="N32" s="1355"/>
      <c r="O32" s="1355"/>
      <c r="P32" s="1356"/>
      <c r="Q32" s="1337"/>
      <c r="R32" s="1338"/>
      <c r="S32" s="1338"/>
      <c r="T32" s="1339"/>
      <c r="U32" s="449"/>
    </row>
    <row r="33" spans="1:21">
      <c r="A33" s="449"/>
      <c r="B33" s="449"/>
      <c r="C33" s="449"/>
      <c r="D33" s="449"/>
      <c r="E33" s="449"/>
      <c r="F33" s="449"/>
      <c r="G33" s="449"/>
      <c r="H33" s="449"/>
      <c r="I33" s="449"/>
      <c r="J33" s="449"/>
      <c r="K33" s="449"/>
      <c r="L33" s="449"/>
      <c r="M33" s="449"/>
      <c r="N33" s="449"/>
      <c r="O33" s="449"/>
      <c r="P33" s="449"/>
      <c r="Q33" s="449"/>
      <c r="R33" s="449"/>
      <c r="S33" s="449"/>
      <c r="T33" s="449"/>
      <c r="U33" s="449"/>
    </row>
  </sheetData>
  <sheetProtection formatColumns="0" formatRows="0"/>
  <mergeCells count="72">
    <mergeCell ref="P30:P31"/>
    <mergeCell ref="B28:L28"/>
    <mergeCell ref="B29:L29"/>
    <mergeCell ref="B30:L30"/>
    <mergeCell ref="M28:O28"/>
    <mergeCell ref="M29:O29"/>
    <mergeCell ref="M30:O30"/>
    <mergeCell ref="M19:O19"/>
    <mergeCell ref="B20:L20"/>
    <mergeCell ref="M20:O20"/>
    <mergeCell ref="B10:L10"/>
    <mergeCell ref="M10:O10"/>
    <mergeCell ref="B11:L11"/>
    <mergeCell ref="M11:O11"/>
    <mergeCell ref="B13:L13"/>
    <mergeCell ref="M13:O13"/>
    <mergeCell ref="B14:L14"/>
    <mergeCell ref="M14:O14"/>
    <mergeCell ref="B12:L12"/>
    <mergeCell ref="M12:O12"/>
    <mergeCell ref="B6:L6"/>
    <mergeCell ref="M6:O6"/>
    <mergeCell ref="B7:L7"/>
    <mergeCell ref="M7:O7"/>
    <mergeCell ref="B8:L8"/>
    <mergeCell ref="M8:O8"/>
    <mergeCell ref="B27:L27"/>
    <mergeCell ref="M27:O27"/>
    <mergeCell ref="B21:L21"/>
    <mergeCell ref="M21:O21"/>
    <mergeCell ref="B22:L22"/>
    <mergeCell ref="B23:L23"/>
    <mergeCell ref="M22:O22"/>
    <mergeCell ref="M23:O23"/>
    <mergeCell ref="B24:L24"/>
    <mergeCell ref="M24:O24"/>
    <mergeCell ref="B25:L25"/>
    <mergeCell ref="B26:L26"/>
    <mergeCell ref="M25:O25"/>
    <mergeCell ref="M26:O26"/>
    <mergeCell ref="Q11:T11"/>
    <mergeCell ref="Q16:T32"/>
    <mergeCell ref="B17:L17"/>
    <mergeCell ref="M17:O17"/>
    <mergeCell ref="B18:L18"/>
    <mergeCell ref="M18:O18"/>
    <mergeCell ref="B19:L19"/>
    <mergeCell ref="P18:P20"/>
    <mergeCell ref="B32:P32"/>
    <mergeCell ref="B31:L31"/>
    <mergeCell ref="M31:O31"/>
    <mergeCell ref="B15:L15"/>
    <mergeCell ref="M15:O15"/>
    <mergeCell ref="B16:L16"/>
    <mergeCell ref="M16:O16"/>
    <mergeCell ref="Q12:T14"/>
    <mergeCell ref="P21:P23"/>
    <mergeCell ref="Q15:T15"/>
    <mergeCell ref="B2:O2"/>
    <mergeCell ref="Q2:T3"/>
    <mergeCell ref="B3:D3"/>
    <mergeCell ref="E3:O3"/>
    <mergeCell ref="B4:D4"/>
    <mergeCell ref="E4:O4"/>
    <mergeCell ref="Q4:T4"/>
    <mergeCell ref="B5:D5"/>
    <mergeCell ref="E5:H5"/>
    <mergeCell ref="I5:L5"/>
    <mergeCell ref="M5:O5"/>
    <mergeCell ref="Q5:T10"/>
    <mergeCell ref="B9:L9"/>
    <mergeCell ref="M9:O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43" r:id="rId4" name="Option Button 11">
              <controlPr defaultSize="0" autoFill="0" autoLine="0" autoPict="0" altText="OLd Regime">
                <anchor moveWithCells="1">
                  <from>
                    <xdr:col>15</xdr:col>
                    <xdr:colOff>129540</xdr:colOff>
                    <xdr:row>17</xdr:row>
                    <xdr:rowOff>129540</xdr:rowOff>
                  </from>
                  <to>
                    <xdr:col>15</xdr:col>
                    <xdr:colOff>838200</xdr:colOff>
                    <xdr:row>18</xdr:row>
                    <xdr:rowOff>114300</xdr:rowOff>
                  </to>
                </anchor>
              </controlPr>
            </control>
          </mc:Choice>
        </mc:AlternateContent>
        <mc:AlternateContent xmlns:mc="http://schemas.openxmlformats.org/markup-compatibility/2006">
          <mc:Choice Requires="x14">
            <control shapeId="18444" r:id="rId5" name="Option Button 12">
              <controlPr defaultSize="0" autoFill="0" autoLine="0" autoPict="0">
                <anchor moveWithCells="1">
                  <from>
                    <xdr:col>15</xdr:col>
                    <xdr:colOff>121920</xdr:colOff>
                    <xdr:row>18</xdr:row>
                    <xdr:rowOff>167640</xdr:rowOff>
                  </from>
                  <to>
                    <xdr:col>15</xdr:col>
                    <xdr:colOff>815340</xdr:colOff>
                    <xdr:row>19</xdr:row>
                    <xdr:rowOff>152400</xdr:rowOff>
                  </to>
                </anchor>
              </controlPr>
            </control>
          </mc:Choice>
        </mc:AlternateContent>
        <mc:AlternateContent xmlns:mc="http://schemas.openxmlformats.org/markup-compatibility/2006">
          <mc:Choice Requires="x14">
            <control shapeId="18445" r:id="rId6" name="Group Box 13">
              <controlPr defaultSize="0" autoFill="0" autoPict="0">
                <anchor moveWithCells="1">
                  <from>
                    <xdr:col>15</xdr:col>
                    <xdr:colOff>106680</xdr:colOff>
                    <xdr:row>20</xdr:row>
                    <xdr:rowOff>60960</xdr:rowOff>
                  </from>
                  <to>
                    <xdr:col>15</xdr:col>
                    <xdr:colOff>1386840</xdr:colOff>
                    <xdr:row>22</xdr:row>
                    <xdr:rowOff>228600</xdr:rowOff>
                  </to>
                </anchor>
              </controlPr>
            </control>
          </mc:Choice>
        </mc:AlternateContent>
        <mc:AlternateContent xmlns:mc="http://schemas.openxmlformats.org/markup-compatibility/2006">
          <mc:Choice Requires="x14">
            <control shapeId="18446" r:id="rId7" name="Option Button 14">
              <controlPr defaultSize="0" autoFill="0" autoLine="0" autoPict="0">
                <anchor moveWithCells="1">
                  <from>
                    <xdr:col>15</xdr:col>
                    <xdr:colOff>274320</xdr:colOff>
                    <xdr:row>20</xdr:row>
                    <xdr:rowOff>205740</xdr:rowOff>
                  </from>
                  <to>
                    <xdr:col>15</xdr:col>
                    <xdr:colOff>1295400</xdr:colOff>
                    <xdr:row>21</xdr:row>
                    <xdr:rowOff>160020</xdr:rowOff>
                  </to>
                </anchor>
              </controlPr>
            </control>
          </mc:Choice>
        </mc:AlternateContent>
        <mc:AlternateContent xmlns:mc="http://schemas.openxmlformats.org/markup-compatibility/2006">
          <mc:Choice Requires="x14">
            <control shapeId="18447" r:id="rId8" name="Option Button 15">
              <controlPr defaultSize="0" autoFill="0" autoLine="0" autoPict="0">
                <anchor moveWithCells="1">
                  <from>
                    <xdr:col>15</xdr:col>
                    <xdr:colOff>228600</xdr:colOff>
                    <xdr:row>21</xdr:row>
                    <xdr:rowOff>160020</xdr:rowOff>
                  </from>
                  <to>
                    <xdr:col>15</xdr:col>
                    <xdr:colOff>1356360</xdr:colOff>
                    <xdr:row>22</xdr:row>
                    <xdr:rowOff>114300</xdr:rowOff>
                  </to>
                </anchor>
              </controlPr>
            </control>
          </mc:Choice>
        </mc:AlternateContent>
        <mc:AlternateContent xmlns:mc="http://schemas.openxmlformats.org/markup-compatibility/2006">
          <mc:Choice Requires="x14">
            <control shapeId="18450" r:id="rId9" name="Group Box 18">
              <controlPr defaultSize="0" autoFill="0" autoPict="0">
                <anchor moveWithCells="1">
                  <from>
                    <xdr:col>15</xdr:col>
                    <xdr:colOff>76200</xdr:colOff>
                    <xdr:row>23</xdr:row>
                    <xdr:rowOff>76200</xdr:rowOff>
                  </from>
                  <to>
                    <xdr:col>15</xdr:col>
                    <xdr:colOff>1104900</xdr:colOff>
                    <xdr:row>25</xdr:row>
                    <xdr:rowOff>198120</xdr:rowOff>
                  </to>
                </anchor>
              </controlPr>
            </control>
          </mc:Choice>
        </mc:AlternateContent>
        <mc:AlternateContent xmlns:mc="http://schemas.openxmlformats.org/markup-compatibility/2006">
          <mc:Choice Requires="x14">
            <control shapeId="18451" r:id="rId10" name="Option Button 19">
              <controlPr defaultSize="0" autoFill="0" autoLine="0" autoPict="0">
                <anchor moveWithCells="1">
                  <from>
                    <xdr:col>15</xdr:col>
                    <xdr:colOff>198120</xdr:colOff>
                    <xdr:row>23</xdr:row>
                    <xdr:rowOff>213360</xdr:rowOff>
                  </from>
                  <to>
                    <xdr:col>15</xdr:col>
                    <xdr:colOff>1043940</xdr:colOff>
                    <xdr:row>24</xdr:row>
                    <xdr:rowOff>190500</xdr:rowOff>
                  </to>
                </anchor>
              </controlPr>
            </control>
          </mc:Choice>
        </mc:AlternateContent>
        <mc:AlternateContent xmlns:mc="http://schemas.openxmlformats.org/markup-compatibility/2006">
          <mc:Choice Requires="x14">
            <control shapeId="18452" r:id="rId11" name="Option Button 20">
              <controlPr defaultSize="0" autoFill="0" autoLine="0" autoPict="0">
                <anchor moveWithCells="1">
                  <from>
                    <xdr:col>15</xdr:col>
                    <xdr:colOff>175260</xdr:colOff>
                    <xdr:row>24</xdr:row>
                    <xdr:rowOff>182880</xdr:rowOff>
                  </from>
                  <to>
                    <xdr:col>15</xdr:col>
                    <xdr:colOff>982980</xdr:colOff>
                    <xdr:row>25</xdr:row>
                    <xdr:rowOff>160020</xdr:rowOff>
                  </to>
                </anchor>
              </controlPr>
            </control>
          </mc:Choice>
        </mc:AlternateContent>
        <mc:AlternateContent xmlns:mc="http://schemas.openxmlformats.org/markup-compatibility/2006">
          <mc:Choice Requires="x14">
            <control shapeId="18460" r:id="rId12" name="Group Box 21">
              <controlPr defaultSize="0" autoFill="0" autoPict="0">
                <anchor moveWithCells="1">
                  <from>
                    <xdr:col>15</xdr:col>
                    <xdr:colOff>76200</xdr:colOff>
                    <xdr:row>26</xdr:row>
                    <xdr:rowOff>76200</xdr:rowOff>
                  </from>
                  <to>
                    <xdr:col>15</xdr:col>
                    <xdr:colOff>1104900</xdr:colOff>
                    <xdr:row>28</xdr:row>
                    <xdr:rowOff>198120</xdr:rowOff>
                  </to>
                </anchor>
              </controlPr>
            </control>
          </mc:Choice>
        </mc:AlternateContent>
        <mc:AlternateContent xmlns:mc="http://schemas.openxmlformats.org/markup-compatibility/2006">
          <mc:Choice Requires="x14">
            <control shapeId="18461" r:id="rId13" name="Option Button 22">
              <controlPr defaultSize="0" autoFill="0" autoLine="0" autoPict="0">
                <anchor moveWithCells="1">
                  <from>
                    <xdr:col>15</xdr:col>
                    <xdr:colOff>198120</xdr:colOff>
                    <xdr:row>26</xdr:row>
                    <xdr:rowOff>213360</xdr:rowOff>
                  </from>
                  <to>
                    <xdr:col>15</xdr:col>
                    <xdr:colOff>1043940</xdr:colOff>
                    <xdr:row>27</xdr:row>
                    <xdr:rowOff>190500</xdr:rowOff>
                  </to>
                </anchor>
              </controlPr>
            </control>
          </mc:Choice>
        </mc:AlternateContent>
        <mc:AlternateContent xmlns:mc="http://schemas.openxmlformats.org/markup-compatibility/2006">
          <mc:Choice Requires="x14">
            <control shapeId="18462" r:id="rId14" name="Option Button 23">
              <controlPr defaultSize="0" autoFill="0" autoLine="0" autoPict="0">
                <anchor moveWithCells="1">
                  <from>
                    <xdr:col>15</xdr:col>
                    <xdr:colOff>175260</xdr:colOff>
                    <xdr:row>27</xdr:row>
                    <xdr:rowOff>182880</xdr:rowOff>
                  </from>
                  <to>
                    <xdr:col>15</xdr:col>
                    <xdr:colOff>982980</xdr:colOff>
                    <xdr:row>28</xdr:row>
                    <xdr:rowOff>160020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2D050"/>
    <pageSetUpPr fitToPage="1"/>
  </sheetPr>
  <dimension ref="A1:U50"/>
  <sheetViews>
    <sheetView showGridLines="0" topLeftCell="A27" workbookViewId="0">
      <selection activeCell="M10" sqref="M10:O10"/>
    </sheetView>
  </sheetViews>
  <sheetFormatPr defaultRowHeight="14.4"/>
  <cols>
    <col min="1" max="1" width="3.21875" customWidth="1"/>
    <col min="7" max="7" width="7.44140625" customWidth="1"/>
    <col min="9" max="9" width="7.77734375" customWidth="1"/>
    <col min="10" max="10" width="7.21875" customWidth="1"/>
    <col min="11" max="11" width="5.77734375" customWidth="1"/>
    <col min="12" max="12" width="7.77734375" customWidth="1"/>
    <col min="13" max="13" width="5" customWidth="1"/>
    <col min="14" max="14" width="8.21875" customWidth="1"/>
    <col min="15" max="15" width="8" customWidth="1"/>
    <col min="16" max="16" width="3.21875" customWidth="1"/>
  </cols>
  <sheetData>
    <row r="1" spans="1:16" ht="15" thickBot="1">
      <c r="A1" s="546"/>
      <c r="B1" s="546"/>
      <c r="C1" s="546"/>
      <c r="D1" s="546"/>
      <c r="E1" s="546"/>
      <c r="F1" s="546"/>
      <c r="G1" s="546"/>
      <c r="H1" s="546"/>
      <c r="I1" s="546"/>
      <c r="J1" s="546"/>
      <c r="K1" s="546"/>
      <c r="L1" s="546"/>
      <c r="M1" s="546"/>
      <c r="N1" s="546"/>
      <c r="O1" s="546"/>
      <c r="P1" s="546"/>
    </row>
    <row r="2" spans="1:16" ht="18" thickBot="1">
      <c r="A2" s="546"/>
      <c r="B2" s="1394" t="s">
        <v>678</v>
      </c>
      <c r="C2" s="1395"/>
      <c r="D2" s="1395"/>
      <c r="E2" s="1395"/>
      <c r="F2" s="1395"/>
      <c r="G2" s="1395"/>
      <c r="H2" s="1395"/>
      <c r="I2" s="1395"/>
      <c r="J2" s="1395"/>
      <c r="K2" s="1395"/>
      <c r="L2" s="1395"/>
      <c r="M2" s="1395"/>
      <c r="N2" s="1395"/>
      <c r="O2" s="1396"/>
      <c r="P2" s="546"/>
    </row>
    <row r="3" spans="1:16" ht="26.1" customHeight="1">
      <c r="A3" s="550"/>
      <c r="B3" s="1228" t="s">
        <v>1006</v>
      </c>
      <c r="C3" s="1329"/>
      <c r="D3" s="1329"/>
      <c r="E3" s="1329"/>
      <c r="F3" s="1329"/>
      <c r="G3" s="1329"/>
      <c r="H3" s="1329"/>
      <c r="I3" s="1329"/>
      <c r="J3" s="1329"/>
      <c r="K3" s="1329"/>
      <c r="L3" s="1329"/>
      <c r="M3" s="1329"/>
      <c r="N3" s="1329"/>
      <c r="O3" s="1397"/>
      <c r="P3" s="546"/>
    </row>
    <row r="4" spans="1:16" ht="15.6">
      <c r="A4" s="550"/>
      <c r="B4" s="1398" t="s">
        <v>679</v>
      </c>
      <c r="C4" s="1113"/>
      <c r="D4" s="1114"/>
      <c r="E4" s="1399" t="str">
        <f>PROPER(IF('us 89(1)'!E3="","",'us 89(1)'!E3))</f>
        <v>Hans Raj Joshi</v>
      </c>
      <c r="F4" s="1400"/>
      <c r="G4" s="1400"/>
      <c r="H4" s="1400"/>
      <c r="I4" s="1400"/>
      <c r="J4" s="1400"/>
      <c r="K4" s="1400"/>
      <c r="L4" s="1400"/>
      <c r="M4" s="1400"/>
      <c r="N4" s="1400"/>
      <c r="O4" s="1401"/>
      <c r="P4" s="546"/>
    </row>
    <row r="5" spans="1:16">
      <c r="A5" s="550"/>
      <c r="B5" s="1398" t="s">
        <v>680</v>
      </c>
      <c r="C5" s="1113"/>
      <c r="D5" s="1114"/>
      <c r="E5" s="1402" t="str">
        <f>UPPER(IF('us 89(1)'!E4="","",'us 89(1)'!E4))</f>
        <v>GOVT SENIOR SECONDARY SCHOOL RAJPURA PIPERAN,SRI GANGANAGAR</v>
      </c>
      <c r="F5" s="1403"/>
      <c r="G5" s="1403"/>
      <c r="H5" s="1403"/>
      <c r="I5" s="1403"/>
      <c r="J5" s="1403"/>
      <c r="K5" s="1403"/>
      <c r="L5" s="1403"/>
      <c r="M5" s="1403"/>
      <c r="N5" s="1403"/>
      <c r="O5" s="1404"/>
      <c r="P5" s="546"/>
    </row>
    <row r="6" spans="1:16">
      <c r="A6" s="550"/>
      <c r="B6" s="1398" t="s">
        <v>663</v>
      </c>
      <c r="C6" s="1113"/>
      <c r="D6" s="1114"/>
      <c r="E6" s="1405" t="str">
        <f>UPPER(IF('us 89(1)'!E5="","",'us 89(1)'!E5))</f>
        <v>XXXXX1234X</v>
      </c>
      <c r="F6" s="1403"/>
      <c r="G6" s="1403"/>
      <c r="H6" s="1403"/>
      <c r="I6" s="1406"/>
      <c r="J6" s="1407" t="s">
        <v>681</v>
      </c>
      <c r="K6" s="1114"/>
      <c r="L6" s="1408" t="s">
        <v>682</v>
      </c>
      <c r="M6" s="1409"/>
      <c r="N6" s="1409"/>
      <c r="O6" s="1410"/>
      <c r="P6" s="546"/>
    </row>
    <row r="7" spans="1:16">
      <c r="A7" s="550"/>
      <c r="B7" s="1411"/>
      <c r="C7" s="1329"/>
      <c r="D7" s="1329"/>
      <c r="E7" s="1329"/>
      <c r="F7" s="1329"/>
      <c r="G7" s="1329"/>
      <c r="H7" s="1329"/>
      <c r="I7" s="1329"/>
      <c r="J7" s="1329"/>
      <c r="K7" s="1329"/>
      <c r="L7" s="1329"/>
      <c r="M7" s="1329"/>
      <c r="N7" s="1329"/>
      <c r="O7" s="1397"/>
      <c r="P7" s="546"/>
    </row>
    <row r="8" spans="1:16">
      <c r="A8" s="550"/>
      <c r="B8" s="1392" t="s">
        <v>1005</v>
      </c>
      <c r="C8" s="1113"/>
      <c r="D8" s="1113"/>
      <c r="E8" s="1113"/>
      <c r="F8" s="1113"/>
      <c r="G8" s="1113"/>
      <c r="H8" s="1113"/>
      <c r="I8" s="1113"/>
      <c r="J8" s="1113"/>
      <c r="K8" s="1113"/>
      <c r="L8" s="1113"/>
      <c r="M8" s="1113"/>
      <c r="N8" s="1113"/>
      <c r="O8" s="1393"/>
      <c r="P8" s="546"/>
    </row>
    <row r="9" spans="1:16">
      <c r="A9" s="550"/>
      <c r="B9" s="1413" t="s">
        <v>1004</v>
      </c>
      <c r="C9" s="1113"/>
      <c r="D9" s="1113"/>
      <c r="E9" s="1113"/>
      <c r="F9" s="1113"/>
      <c r="G9" s="1113"/>
      <c r="H9" s="1113"/>
      <c r="I9" s="1113"/>
      <c r="J9" s="1113"/>
      <c r="K9" s="1113"/>
      <c r="L9" s="1114"/>
      <c r="M9" s="1416">
        <f>'us 89(1)'!M8+'us 89(1)'!M11+'us 89(1)'!M14+'us 89(1)'!M17+'us 89(1)'!M20+'us 89(1)'!M23+'us 89(1)'!M26+'us 89(1)'!M29</f>
        <v>307000</v>
      </c>
      <c r="N9" s="1403"/>
      <c r="O9" s="1404"/>
      <c r="P9" s="546"/>
    </row>
    <row r="10" spans="1:16" ht="25.5" customHeight="1">
      <c r="A10" s="550"/>
      <c r="B10" s="1413" t="s">
        <v>683</v>
      </c>
      <c r="C10" s="1113"/>
      <c r="D10" s="1113"/>
      <c r="E10" s="1113"/>
      <c r="F10" s="1113"/>
      <c r="G10" s="1113"/>
      <c r="H10" s="1113"/>
      <c r="I10" s="1113"/>
      <c r="J10" s="1113"/>
      <c r="K10" s="1113"/>
      <c r="L10" s="1114"/>
      <c r="M10" s="1419" t="s">
        <v>684</v>
      </c>
      <c r="N10" s="1409"/>
      <c r="O10" s="1410"/>
      <c r="P10" s="546"/>
    </row>
    <row r="11" spans="1:16" ht="23.55" customHeight="1">
      <c r="A11" s="550"/>
      <c r="B11" s="1413" t="s">
        <v>685</v>
      </c>
      <c r="C11" s="1113"/>
      <c r="D11" s="1113"/>
      <c r="E11" s="1113"/>
      <c r="F11" s="1113"/>
      <c r="G11" s="1113"/>
      <c r="H11" s="1113"/>
      <c r="I11" s="1113"/>
      <c r="J11" s="1113"/>
      <c r="K11" s="1113"/>
      <c r="L11" s="1114"/>
      <c r="M11" s="1414" t="s">
        <v>684</v>
      </c>
      <c r="N11" s="1113"/>
      <c r="O11" s="1393"/>
      <c r="P11" s="546"/>
    </row>
    <row r="12" spans="1:16" ht="20.55" customHeight="1">
      <c r="A12" s="550"/>
      <c r="B12" s="1413" t="s">
        <v>686</v>
      </c>
      <c r="C12" s="1113"/>
      <c r="D12" s="1113"/>
      <c r="E12" s="1113"/>
      <c r="F12" s="1113"/>
      <c r="G12" s="1113"/>
      <c r="H12" s="1113"/>
      <c r="I12" s="1113"/>
      <c r="J12" s="1113"/>
      <c r="K12" s="1113"/>
      <c r="L12" s="1114"/>
      <c r="M12" s="1414" t="s">
        <v>684</v>
      </c>
      <c r="N12" s="1113"/>
      <c r="O12" s="1393"/>
      <c r="P12" s="546"/>
    </row>
    <row r="13" spans="1:16" ht="17.100000000000001" customHeight="1">
      <c r="A13" s="550"/>
      <c r="B13" s="1413" t="s">
        <v>687</v>
      </c>
      <c r="C13" s="1113"/>
      <c r="D13" s="1113"/>
      <c r="E13" s="1113"/>
      <c r="F13" s="1113"/>
      <c r="G13" s="1113"/>
      <c r="H13" s="1113"/>
      <c r="I13" s="1113"/>
      <c r="J13" s="1113"/>
      <c r="K13" s="1113"/>
      <c r="L13" s="1114"/>
      <c r="M13" s="1415" t="s">
        <v>688</v>
      </c>
      <c r="N13" s="1113"/>
      <c r="O13" s="1393"/>
      <c r="P13" s="546"/>
    </row>
    <row r="14" spans="1:16">
      <c r="A14" s="550"/>
      <c r="B14" s="1424" t="s">
        <v>689</v>
      </c>
      <c r="C14" s="1329"/>
      <c r="D14" s="1329"/>
      <c r="E14" s="1329"/>
      <c r="F14" s="1329"/>
      <c r="G14" s="1329"/>
      <c r="H14" s="1329"/>
      <c r="I14" s="1329"/>
      <c r="J14" s="1329"/>
      <c r="K14" s="1329"/>
      <c r="L14" s="1329"/>
      <c r="M14" s="1329"/>
      <c r="N14" s="1329"/>
      <c r="O14" s="1397"/>
      <c r="P14" s="546"/>
    </row>
    <row r="15" spans="1:16">
      <c r="A15" s="550"/>
      <c r="B15" s="1412" t="s">
        <v>690</v>
      </c>
      <c r="C15" s="1329"/>
      <c r="D15" s="1329"/>
      <c r="E15" s="1329"/>
      <c r="F15" s="1329"/>
      <c r="G15" s="1329"/>
      <c r="H15" s="1329"/>
      <c r="I15" s="1329"/>
      <c r="J15" s="1329"/>
      <c r="K15" s="1329"/>
      <c r="L15" s="1329"/>
      <c r="M15" s="1329"/>
      <c r="N15" s="1329"/>
      <c r="O15" s="1397"/>
      <c r="P15" s="546"/>
    </row>
    <row r="16" spans="1:16">
      <c r="A16" s="550"/>
      <c r="B16" s="536"/>
      <c r="C16" s="536"/>
      <c r="D16" s="536"/>
      <c r="E16" s="536"/>
      <c r="F16" s="536"/>
      <c r="G16" s="536"/>
      <c r="H16" s="536"/>
      <c r="I16" s="536"/>
      <c r="J16" s="536"/>
      <c r="K16" s="536"/>
      <c r="L16" s="536"/>
      <c r="M16" s="536"/>
      <c r="N16" s="536"/>
      <c r="O16" s="547"/>
      <c r="P16" s="546"/>
    </row>
    <row r="17" spans="1:21">
      <c r="A17" s="550"/>
      <c r="B17" s="537" t="s">
        <v>691</v>
      </c>
      <c r="C17" s="1391"/>
      <c r="D17" s="1391"/>
      <c r="E17" s="536"/>
      <c r="F17" s="536"/>
      <c r="G17" s="536"/>
      <c r="H17" s="536"/>
      <c r="I17" s="536"/>
      <c r="J17" s="536"/>
      <c r="K17" s="536"/>
      <c r="L17" s="536"/>
      <c r="M17" s="536"/>
      <c r="N17" s="536"/>
      <c r="O17" s="547"/>
      <c r="P17" s="546"/>
    </row>
    <row r="18" spans="1:21">
      <c r="A18" s="550"/>
      <c r="B18" s="536"/>
      <c r="C18" s="536"/>
      <c r="D18" s="536"/>
      <c r="E18" s="536"/>
      <c r="F18" s="536"/>
      <c r="G18" s="536"/>
      <c r="H18" s="536"/>
      <c r="I18" s="536"/>
      <c r="J18" s="536"/>
      <c r="K18" s="536"/>
      <c r="L18" s="1420" t="s">
        <v>692</v>
      </c>
      <c r="M18" s="1329"/>
      <c r="N18" s="1329"/>
      <c r="O18" s="1397"/>
      <c r="P18" s="546"/>
    </row>
    <row r="19" spans="1:21">
      <c r="A19" s="550"/>
      <c r="B19" s="536"/>
      <c r="C19" s="536"/>
      <c r="D19" s="536"/>
      <c r="E19" s="536"/>
      <c r="F19" s="536"/>
      <c r="G19" s="536"/>
      <c r="H19" s="536"/>
      <c r="I19" s="536"/>
      <c r="J19" s="536"/>
      <c r="K19" s="536"/>
      <c r="L19" s="536"/>
      <c r="M19" s="536"/>
      <c r="N19" s="536"/>
      <c r="O19" s="547"/>
      <c r="P19" s="546"/>
    </row>
    <row r="20" spans="1:21">
      <c r="A20" s="550"/>
      <c r="B20" s="1421" t="s">
        <v>693</v>
      </c>
      <c r="C20" s="1113"/>
      <c r="D20" s="1113"/>
      <c r="E20" s="1113"/>
      <c r="F20" s="1113"/>
      <c r="G20" s="1113"/>
      <c r="H20" s="1113"/>
      <c r="I20" s="1113"/>
      <c r="J20" s="1113"/>
      <c r="K20" s="1113"/>
      <c r="L20" s="1113"/>
      <c r="M20" s="1113"/>
      <c r="N20" s="1113"/>
      <c r="O20" s="1393"/>
      <c r="P20" s="546"/>
    </row>
    <row r="21" spans="1:21">
      <c r="A21" s="550"/>
      <c r="B21" s="1413" t="s">
        <v>694</v>
      </c>
      <c r="C21" s="1113"/>
      <c r="D21" s="1113"/>
      <c r="E21" s="1113"/>
      <c r="F21" s="1113"/>
      <c r="G21" s="1113"/>
      <c r="H21" s="1113"/>
      <c r="I21" s="1113"/>
      <c r="J21" s="1113"/>
      <c r="K21" s="1113"/>
      <c r="L21" s="1114"/>
      <c r="M21" s="1417">
        <f>M23-M22</f>
        <v>258000</v>
      </c>
      <c r="N21" s="1403"/>
      <c r="O21" s="1404"/>
      <c r="P21" s="546"/>
    </row>
    <row r="22" spans="1:21">
      <c r="A22" s="550"/>
      <c r="B22" s="1413" t="s">
        <v>695</v>
      </c>
      <c r="C22" s="1113"/>
      <c r="D22" s="1113"/>
      <c r="E22" s="1113"/>
      <c r="F22" s="1113"/>
      <c r="G22" s="1113"/>
      <c r="H22" s="1113"/>
      <c r="I22" s="1113"/>
      <c r="J22" s="1113"/>
      <c r="K22" s="1113"/>
      <c r="L22" s="1114"/>
      <c r="M22" s="1417">
        <f>M9</f>
        <v>307000</v>
      </c>
      <c r="N22" s="1403"/>
      <c r="O22" s="1404"/>
      <c r="P22" s="546"/>
    </row>
    <row r="23" spans="1:21">
      <c r="A23" s="550"/>
      <c r="B23" s="1413" t="s">
        <v>696</v>
      </c>
      <c r="C23" s="1113"/>
      <c r="D23" s="1113"/>
      <c r="E23" s="1113"/>
      <c r="F23" s="1113"/>
      <c r="G23" s="1113"/>
      <c r="H23" s="1113"/>
      <c r="I23" s="1113"/>
      <c r="J23" s="1113"/>
      <c r="K23" s="1113"/>
      <c r="L23" s="1114"/>
      <c r="M23" s="1417">
        <f>'us 89(1)'!M31</f>
        <v>565000</v>
      </c>
      <c r="N23" s="1403"/>
      <c r="O23" s="1404"/>
      <c r="P23" s="546"/>
    </row>
    <row r="24" spans="1:21">
      <c r="A24" s="550"/>
      <c r="B24" s="1413" t="s">
        <v>697</v>
      </c>
      <c r="C24" s="1113"/>
      <c r="D24" s="1113"/>
      <c r="E24" s="1113"/>
      <c r="F24" s="1113"/>
      <c r="G24" s="1113"/>
      <c r="H24" s="1113"/>
      <c r="I24" s="1113"/>
      <c r="J24" s="1113"/>
      <c r="K24" s="1113"/>
      <c r="L24" s="1114"/>
      <c r="M24" s="1417">
        <f>Control_10E!F22</f>
        <v>23608</v>
      </c>
      <c r="N24" s="1403"/>
      <c r="O24" s="1404"/>
      <c r="P24" s="546"/>
    </row>
    <row r="25" spans="1:21">
      <c r="A25" s="550"/>
      <c r="B25" s="1413" t="s">
        <v>698</v>
      </c>
      <c r="C25" s="1113"/>
      <c r="D25" s="1113"/>
      <c r="E25" s="1113"/>
      <c r="F25" s="1113"/>
      <c r="G25" s="1113"/>
      <c r="H25" s="1113"/>
      <c r="I25" s="1113"/>
      <c r="J25" s="1113"/>
      <c r="K25" s="1113"/>
      <c r="L25" s="1114"/>
      <c r="M25" s="1417">
        <f>Control_10E!F10</f>
        <v>22880</v>
      </c>
      <c r="N25" s="1403"/>
      <c r="O25" s="1404"/>
      <c r="P25" s="546"/>
    </row>
    <row r="26" spans="1:21" ht="15" thickBot="1">
      <c r="A26" s="550"/>
      <c r="B26" s="1413" t="s">
        <v>699</v>
      </c>
      <c r="C26" s="1113"/>
      <c r="D26" s="1113"/>
      <c r="E26" s="1113"/>
      <c r="F26" s="1113"/>
      <c r="G26" s="1113"/>
      <c r="H26" s="1113"/>
      <c r="I26" s="1113"/>
      <c r="J26" s="1113"/>
      <c r="K26" s="1113"/>
      <c r="L26" s="1114"/>
      <c r="M26" s="1417">
        <f>M24-M25</f>
        <v>728</v>
      </c>
      <c r="N26" s="1403"/>
      <c r="O26" s="1404"/>
      <c r="P26" s="546"/>
    </row>
    <row r="27" spans="1:21" ht="15.6" thickTop="1" thickBot="1">
      <c r="A27" s="550"/>
      <c r="B27" s="1413" t="s">
        <v>700</v>
      </c>
      <c r="C27" s="1113"/>
      <c r="D27" s="1113"/>
      <c r="E27" s="1113"/>
      <c r="F27" s="1113"/>
      <c r="G27" s="1113"/>
      <c r="H27" s="1113"/>
      <c r="I27" s="1113"/>
      <c r="J27" s="1113"/>
      <c r="K27" s="1113"/>
      <c r="L27" s="1114"/>
      <c r="M27" s="1417">
        <f>N41</f>
        <v>38985</v>
      </c>
      <c r="N27" s="1403"/>
      <c r="O27" s="1404"/>
      <c r="P27" s="546"/>
      <c r="R27" s="1383" t="s">
        <v>954</v>
      </c>
      <c r="S27" s="1383"/>
      <c r="T27" s="1383"/>
      <c r="U27" s="1383"/>
    </row>
    <row r="28" spans="1:21" ht="18.600000000000001" thickTop="1" thickBot="1">
      <c r="A28" s="550"/>
      <c r="B28" s="1413" t="s">
        <v>701</v>
      </c>
      <c r="C28" s="1113"/>
      <c r="D28" s="1113"/>
      <c r="E28" s="1113"/>
      <c r="F28" s="1113"/>
      <c r="G28" s="1113"/>
      <c r="H28" s="1113"/>
      <c r="I28" s="1113"/>
      <c r="J28" s="1113"/>
      <c r="K28" s="1113"/>
      <c r="L28" s="1114"/>
      <c r="M28" s="1418">
        <f>M26-M27</f>
        <v>-38257</v>
      </c>
      <c r="N28" s="1403"/>
      <c r="O28" s="1404"/>
      <c r="P28" s="546"/>
      <c r="R28" s="1383"/>
      <c r="S28" s="1383"/>
      <c r="T28" s="1383"/>
      <c r="U28" s="1383"/>
    </row>
    <row r="29" spans="1:21" ht="15" thickTop="1">
      <c r="A29" s="550"/>
      <c r="B29" s="538"/>
      <c r="C29" s="538"/>
      <c r="D29" s="538"/>
      <c r="E29" s="538"/>
      <c r="F29" s="538"/>
      <c r="G29" s="538"/>
      <c r="H29" s="538"/>
      <c r="I29" s="538"/>
      <c r="J29" s="538"/>
      <c r="K29" s="538"/>
      <c r="L29" s="538"/>
      <c r="M29" s="539"/>
      <c r="N29" s="539"/>
      <c r="O29" s="548"/>
      <c r="P29" s="546"/>
    </row>
    <row r="30" spans="1:21" ht="15.6">
      <c r="A30" s="550"/>
      <c r="B30" s="1421" t="s">
        <v>702</v>
      </c>
      <c r="C30" s="1113"/>
      <c r="D30" s="1113"/>
      <c r="E30" s="1113"/>
      <c r="F30" s="1113"/>
      <c r="G30" s="1113"/>
      <c r="H30" s="1113"/>
      <c r="I30" s="1113"/>
      <c r="J30" s="1113"/>
      <c r="K30" s="1113"/>
      <c r="L30" s="1113"/>
      <c r="M30" s="1113"/>
      <c r="N30" s="1113"/>
      <c r="O30" s="1393"/>
      <c r="P30" s="546"/>
      <c r="R30" s="1380" t="s">
        <v>955</v>
      </c>
      <c r="S30" s="1381"/>
      <c r="T30" s="1381"/>
      <c r="U30" s="1382"/>
    </row>
    <row r="31" spans="1:21" ht="60.6" customHeight="1">
      <c r="A31" s="550"/>
      <c r="B31" s="1422" t="s">
        <v>703</v>
      </c>
      <c r="C31" s="1114"/>
      <c r="D31" s="1423" t="s">
        <v>704</v>
      </c>
      <c r="E31" s="1114"/>
      <c r="F31" s="1423" t="s">
        <v>705</v>
      </c>
      <c r="G31" s="1114"/>
      <c r="H31" s="1423" t="s">
        <v>706</v>
      </c>
      <c r="I31" s="1114"/>
      <c r="J31" s="1423" t="s">
        <v>707</v>
      </c>
      <c r="K31" s="1114"/>
      <c r="L31" s="1423" t="s">
        <v>708</v>
      </c>
      <c r="M31" s="1114"/>
      <c r="N31" s="1423" t="s">
        <v>709</v>
      </c>
      <c r="O31" s="1393"/>
      <c r="P31" s="546"/>
      <c r="R31" s="1379">
        <f>IF(M28&lt;=0,0,M28)</f>
        <v>0</v>
      </c>
      <c r="S31" s="1379"/>
      <c r="T31" s="1379"/>
      <c r="U31" s="1379"/>
    </row>
    <row r="32" spans="1:21">
      <c r="A32" s="550"/>
      <c r="B32" s="1426">
        <v>1</v>
      </c>
      <c r="C32" s="1114"/>
      <c r="D32" s="1415">
        <v>2</v>
      </c>
      <c r="E32" s="1114"/>
      <c r="F32" s="1415">
        <v>3</v>
      </c>
      <c r="G32" s="1114"/>
      <c r="H32" s="1415">
        <v>4</v>
      </c>
      <c r="I32" s="1114"/>
      <c r="J32" s="1415">
        <v>5</v>
      </c>
      <c r="K32" s="1114"/>
      <c r="L32" s="1415">
        <v>6</v>
      </c>
      <c r="M32" s="1114"/>
      <c r="N32" s="1415">
        <v>7</v>
      </c>
      <c r="O32" s="1393"/>
      <c r="P32" s="546"/>
    </row>
    <row r="33" spans="1:16">
      <c r="A33" s="550"/>
      <c r="B33" s="1398" t="s">
        <v>738</v>
      </c>
      <c r="C33" s="1114"/>
      <c r="D33" s="1402">
        <f>'us 89(1)'!M7</f>
        <v>0</v>
      </c>
      <c r="E33" s="1406"/>
      <c r="F33" s="1402">
        <f>'us 89(1)'!M8</f>
        <v>0</v>
      </c>
      <c r="G33" s="1406"/>
      <c r="H33" s="1402">
        <f t="shared" ref="H33:H39" si="0">D33+F33</f>
        <v>0</v>
      </c>
      <c r="I33" s="1406"/>
      <c r="J33" s="1402">
        <f>Control_10E!F3</f>
        <v>0</v>
      </c>
      <c r="K33" s="1406"/>
      <c r="L33" s="1402">
        <f>Control_10E!F15</f>
        <v>0</v>
      </c>
      <c r="M33" s="1406"/>
      <c r="N33" s="1402">
        <f t="shared" ref="N33:N39" si="1">L33-J33</f>
        <v>0</v>
      </c>
      <c r="O33" s="1404"/>
      <c r="P33" s="546"/>
    </row>
    <row r="34" spans="1:16">
      <c r="A34" s="550"/>
      <c r="B34" s="1425" t="s">
        <v>710</v>
      </c>
      <c r="C34" s="1133"/>
      <c r="D34" s="1402">
        <f>'us 89(1)'!M10</f>
        <v>400000</v>
      </c>
      <c r="E34" s="1406"/>
      <c r="F34" s="1402">
        <f>'us 89(1)'!M11</f>
        <v>30000</v>
      </c>
      <c r="G34" s="1406"/>
      <c r="H34" s="1402">
        <f t="shared" si="0"/>
        <v>430000</v>
      </c>
      <c r="I34" s="1406"/>
      <c r="J34" s="1402">
        <f>Control_10E!F4</f>
        <v>7725</v>
      </c>
      <c r="K34" s="1406"/>
      <c r="L34" s="1402">
        <f>Control_10E!F16</f>
        <v>9270</v>
      </c>
      <c r="M34" s="1406"/>
      <c r="N34" s="1402">
        <f t="shared" si="1"/>
        <v>1545</v>
      </c>
      <c r="O34" s="1404"/>
      <c r="P34" s="546"/>
    </row>
    <row r="35" spans="1:16">
      <c r="A35" s="550"/>
      <c r="B35" s="1398" t="s">
        <v>711</v>
      </c>
      <c r="C35" s="1114"/>
      <c r="D35" s="1402">
        <f>'us 89(1)'!M13</f>
        <v>700000</v>
      </c>
      <c r="E35" s="1406"/>
      <c r="F35" s="1402">
        <f>'us 89(1)'!M14</f>
        <v>40000</v>
      </c>
      <c r="G35" s="1406"/>
      <c r="H35" s="1402">
        <f t="shared" si="0"/>
        <v>740000</v>
      </c>
      <c r="I35" s="1406"/>
      <c r="J35" s="1402">
        <f>Control_10E!F5</f>
        <v>54600</v>
      </c>
      <c r="K35" s="1406"/>
      <c r="L35" s="1402">
        <f>Control_10E!F17</f>
        <v>62920</v>
      </c>
      <c r="M35" s="1406"/>
      <c r="N35" s="1402">
        <f t="shared" si="1"/>
        <v>8320</v>
      </c>
      <c r="O35" s="1404"/>
      <c r="P35" s="546"/>
    </row>
    <row r="36" spans="1:16">
      <c r="A36" s="550"/>
      <c r="B36" s="1398" t="s">
        <v>712</v>
      </c>
      <c r="C36" s="1114"/>
      <c r="D36" s="1402">
        <f>'us 89(1)'!M16</f>
        <v>850000</v>
      </c>
      <c r="E36" s="1406"/>
      <c r="F36" s="1402">
        <f>'us 89(1)'!M17</f>
        <v>50000</v>
      </c>
      <c r="G36" s="1406"/>
      <c r="H36" s="1402">
        <f t="shared" si="0"/>
        <v>900000</v>
      </c>
      <c r="I36" s="1406"/>
      <c r="J36" s="1402">
        <f>Control_10E!F6</f>
        <v>85800</v>
      </c>
      <c r="K36" s="1406"/>
      <c r="L36" s="1402">
        <f>Control_10E!F18</f>
        <v>96200</v>
      </c>
      <c r="M36" s="1406"/>
      <c r="N36" s="1402">
        <f t="shared" si="1"/>
        <v>10400</v>
      </c>
      <c r="O36" s="1404"/>
      <c r="P36" s="546"/>
    </row>
    <row r="37" spans="1:16">
      <c r="A37" s="550"/>
      <c r="B37" s="1398" t="s">
        <v>719</v>
      </c>
      <c r="C37" s="1114"/>
      <c r="D37" s="1402">
        <f>'us 89(1)'!M19</f>
        <v>510000</v>
      </c>
      <c r="E37" s="1406"/>
      <c r="F37" s="1402">
        <f>'us 89(1)'!M20</f>
        <v>60000</v>
      </c>
      <c r="G37" s="1406"/>
      <c r="H37" s="1402">
        <f t="shared" si="0"/>
        <v>570000</v>
      </c>
      <c r="I37" s="1406"/>
      <c r="J37" s="1402">
        <f>Control_10E!F7</f>
        <v>14040</v>
      </c>
      <c r="K37" s="1406"/>
      <c r="L37" s="1402">
        <f>Control_10E!F19</f>
        <v>20280</v>
      </c>
      <c r="M37" s="1406"/>
      <c r="N37" s="1402">
        <f t="shared" si="1"/>
        <v>6240</v>
      </c>
      <c r="O37" s="1404"/>
      <c r="P37" s="546"/>
    </row>
    <row r="38" spans="1:16">
      <c r="A38" s="550"/>
      <c r="B38" s="1398" t="s">
        <v>721</v>
      </c>
      <c r="C38" s="1114"/>
      <c r="D38" s="1402">
        <f>'us 89(1)'!M22</f>
        <v>510000</v>
      </c>
      <c r="E38" s="1406"/>
      <c r="F38" s="1402">
        <f>'us 89(1)'!M23</f>
        <v>60000</v>
      </c>
      <c r="G38" s="1406"/>
      <c r="H38" s="1402">
        <f t="shared" si="0"/>
        <v>570000</v>
      </c>
      <c r="I38" s="1406"/>
      <c r="J38" s="1402">
        <f>Control_10E!F8</f>
        <v>14040</v>
      </c>
      <c r="K38" s="1406"/>
      <c r="L38" s="1402">
        <f>Control_10E!F20</f>
        <v>20280</v>
      </c>
      <c r="M38" s="1406"/>
      <c r="N38" s="1402">
        <f t="shared" si="1"/>
        <v>6240</v>
      </c>
      <c r="O38" s="1404"/>
      <c r="P38" s="546"/>
    </row>
    <row r="39" spans="1:16" ht="14.4" customHeight="1">
      <c r="A39" s="550"/>
      <c r="B39" s="1398" t="s">
        <v>926</v>
      </c>
      <c r="C39" s="1114"/>
      <c r="D39" s="1402">
        <f>'us 89(1)'!M25</f>
        <v>650000</v>
      </c>
      <c r="E39" s="1406"/>
      <c r="F39" s="1402">
        <f>'us 89(1)'!M26</f>
        <v>60000</v>
      </c>
      <c r="G39" s="1406"/>
      <c r="H39" s="1402">
        <f t="shared" si="0"/>
        <v>710000</v>
      </c>
      <c r="I39" s="1406"/>
      <c r="J39" s="1402">
        <f>Control_10E!F9</f>
        <v>28600</v>
      </c>
      <c r="K39" s="1406"/>
      <c r="L39" s="1402">
        <f>Control_10E!F21</f>
        <v>34840</v>
      </c>
      <c r="M39" s="1406"/>
      <c r="N39" s="1402">
        <f t="shared" si="1"/>
        <v>6240</v>
      </c>
      <c r="O39" s="1404"/>
      <c r="P39" s="546"/>
    </row>
    <row r="40" spans="1:16" ht="14.4" customHeight="1">
      <c r="A40" s="550"/>
      <c r="B40" s="1398" t="s">
        <v>923</v>
      </c>
      <c r="C40" s="1114"/>
      <c r="D40" s="1402">
        <f>'us 89(1)'!M28</f>
        <v>670000</v>
      </c>
      <c r="E40" s="1406"/>
      <c r="F40" s="1402">
        <f>'us 89(1)'!M29</f>
        <v>7000</v>
      </c>
      <c r="G40" s="1406"/>
      <c r="H40" s="1402">
        <f t="shared" ref="H40" si="2">D40+F40</f>
        <v>677000</v>
      </c>
      <c r="I40" s="1406"/>
      <c r="J40" s="1402">
        <f>Control_10E!F10</f>
        <v>22880</v>
      </c>
      <c r="K40" s="1406"/>
      <c r="L40" s="1402">
        <f>Control_10E!F22</f>
        <v>23608</v>
      </c>
      <c r="M40" s="1406"/>
      <c r="N40" s="1402">
        <f t="shared" ref="N40" si="3">L40-J40</f>
        <v>728</v>
      </c>
      <c r="O40" s="1404"/>
      <c r="P40" s="546"/>
    </row>
    <row r="41" spans="1:16" ht="15" thickBot="1">
      <c r="A41" s="550"/>
      <c r="B41" s="1427" t="s">
        <v>221</v>
      </c>
      <c r="C41" s="1428"/>
      <c r="D41" s="1429"/>
      <c r="E41" s="1428"/>
      <c r="F41" s="1429"/>
      <c r="G41" s="1428"/>
      <c r="H41" s="1429"/>
      <c r="I41" s="1428"/>
      <c r="J41" s="1429"/>
      <c r="K41" s="1428"/>
      <c r="L41" s="1429"/>
      <c r="M41" s="1428"/>
      <c r="N41" s="1430">
        <f>N33+N34+N35+N36+N37+N38+N39</f>
        <v>38985</v>
      </c>
      <c r="O41" s="1431"/>
      <c r="P41" s="546"/>
    </row>
    <row r="42" spans="1:16">
      <c r="A42" s="546"/>
      <c r="G42" s="549"/>
      <c r="P42" s="546"/>
    </row>
    <row r="43" spans="1:16">
      <c r="A43" s="546"/>
      <c r="F43" s="1385"/>
      <c r="G43" s="1386"/>
      <c r="H43" s="1386"/>
      <c r="I43" s="1387"/>
      <c r="P43" s="546"/>
    </row>
    <row r="44" spans="1:16">
      <c r="A44" s="546"/>
      <c r="F44" s="1388"/>
      <c r="G44" s="1389"/>
      <c r="H44" s="1389"/>
      <c r="I44" s="1390"/>
      <c r="P44" s="546"/>
    </row>
    <row r="45" spans="1:16">
      <c r="A45" s="546"/>
      <c r="P45" s="546"/>
    </row>
    <row r="46" spans="1:16">
      <c r="A46" s="546"/>
      <c r="B46" s="546"/>
      <c r="C46" s="546"/>
      <c r="D46" s="546"/>
      <c r="E46" s="546"/>
      <c r="F46" s="546"/>
      <c r="G46" s="546"/>
      <c r="H46" s="546"/>
      <c r="I46" s="546"/>
      <c r="J46" s="546"/>
      <c r="K46" s="546"/>
      <c r="L46" s="546"/>
      <c r="M46" s="546"/>
      <c r="N46" s="546"/>
      <c r="O46" s="546"/>
      <c r="P46" s="546"/>
    </row>
    <row r="47" spans="1:16" ht="15" thickBot="1"/>
    <row r="48" spans="1:16" ht="15.6" thickTop="1" thickBot="1">
      <c r="B48" s="1384" t="s">
        <v>911</v>
      </c>
      <c r="C48" s="1384"/>
      <c r="D48" s="1384"/>
      <c r="E48" s="1384"/>
      <c r="F48" s="1384"/>
      <c r="G48" s="1384"/>
      <c r="H48" s="1384"/>
      <c r="I48" s="1384"/>
      <c r="J48" s="1384"/>
      <c r="K48" s="1384"/>
      <c r="L48" s="1384"/>
      <c r="M48" s="1384"/>
      <c r="N48" s="1384"/>
      <c r="O48" s="1384"/>
      <c r="P48" s="1384"/>
    </row>
    <row r="49" spans="2:16" ht="15.6" thickTop="1" thickBot="1">
      <c r="B49" s="1384"/>
      <c r="C49" s="1384"/>
      <c r="D49" s="1384"/>
      <c r="E49" s="1384"/>
      <c r="F49" s="1384"/>
      <c r="G49" s="1384"/>
      <c r="H49" s="1384"/>
      <c r="I49" s="1384"/>
      <c r="J49" s="1384"/>
      <c r="K49" s="1384"/>
      <c r="L49" s="1384"/>
      <c r="M49" s="1384"/>
      <c r="N49" s="1384"/>
      <c r="O49" s="1384"/>
      <c r="P49" s="1384"/>
    </row>
    <row r="50" spans="2:16" ht="15" thickTop="1"/>
  </sheetData>
  <sheetProtection formatColumns="0" formatRows="0"/>
  <mergeCells count="126">
    <mergeCell ref="B40:C40"/>
    <mergeCell ref="D40:E40"/>
    <mergeCell ref="F40:G40"/>
    <mergeCell ref="H40:I40"/>
    <mergeCell ref="J40:K40"/>
    <mergeCell ref="L40:M40"/>
    <mergeCell ref="N40:O40"/>
    <mergeCell ref="B41:C41"/>
    <mergeCell ref="D41:E41"/>
    <mergeCell ref="F41:G41"/>
    <mergeCell ref="H41:I41"/>
    <mergeCell ref="J41:K41"/>
    <mergeCell ref="L41:M41"/>
    <mergeCell ref="N41:O41"/>
    <mergeCell ref="D37:E37"/>
    <mergeCell ref="F37:G37"/>
    <mergeCell ref="H37:I37"/>
    <mergeCell ref="J37:K37"/>
    <mergeCell ref="L37:M37"/>
    <mergeCell ref="B38:C38"/>
    <mergeCell ref="D38:E38"/>
    <mergeCell ref="F38:G38"/>
    <mergeCell ref="H38:I38"/>
    <mergeCell ref="J38:K38"/>
    <mergeCell ref="L38:M38"/>
    <mergeCell ref="N38:O38"/>
    <mergeCell ref="B39:C39"/>
    <mergeCell ref="D39:E39"/>
    <mergeCell ref="F39:G39"/>
    <mergeCell ref="H39:I39"/>
    <mergeCell ref="J36:K36"/>
    <mergeCell ref="L36:M36"/>
    <mergeCell ref="N36:O36"/>
    <mergeCell ref="B35:C35"/>
    <mergeCell ref="D35:E35"/>
    <mergeCell ref="F35:G35"/>
    <mergeCell ref="H35:I35"/>
    <mergeCell ref="J35:K35"/>
    <mergeCell ref="L35:M35"/>
    <mergeCell ref="N35:O35"/>
    <mergeCell ref="B36:C36"/>
    <mergeCell ref="D36:E36"/>
    <mergeCell ref="F36:G36"/>
    <mergeCell ref="H36:I36"/>
    <mergeCell ref="J39:K39"/>
    <mergeCell ref="L39:M39"/>
    <mergeCell ref="N39:O39"/>
    <mergeCell ref="N37:O37"/>
    <mergeCell ref="B37:C37"/>
    <mergeCell ref="N32:O32"/>
    <mergeCell ref="B34:C34"/>
    <mergeCell ref="D34:E34"/>
    <mergeCell ref="F34:G34"/>
    <mergeCell ref="H34:I34"/>
    <mergeCell ref="J34:K34"/>
    <mergeCell ref="L34:M34"/>
    <mergeCell ref="N34:O34"/>
    <mergeCell ref="B32:C32"/>
    <mergeCell ref="D32:E32"/>
    <mergeCell ref="F32:G32"/>
    <mergeCell ref="H32:I32"/>
    <mergeCell ref="J32:K32"/>
    <mergeCell ref="L32:M32"/>
    <mergeCell ref="B33:C33"/>
    <mergeCell ref="D33:E33"/>
    <mergeCell ref="F33:G33"/>
    <mergeCell ref="H33:I33"/>
    <mergeCell ref="J33:K33"/>
    <mergeCell ref="L33:M33"/>
    <mergeCell ref="N33:O33"/>
    <mergeCell ref="B30:O30"/>
    <mergeCell ref="B31:C31"/>
    <mergeCell ref="D31:E31"/>
    <mergeCell ref="F31:G31"/>
    <mergeCell ref="H31:I31"/>
    <mergeCell ref="J31:K31"/>
    <mergeCell ref="L31:M31"/>
    <mergeCell ref="N31:O31"/>
    <mergeCell ref="B14:O14"/>
    <mergeCell ref="M9:O9"/>
    <mergeCell ref="B26:L26"/>
    <mergeCell ref="M26:O26"/>
    <mergeCell ref="B27:L27"/>
    <mergeCell ref="M27:O27"/>
    <mergeCell ref="B28:L28"/>
    <mergeCell ref="M28:O28"/>
    <mergeCell ref="B10:L10"/>
    <mergeCell ref="M10:O10"/>
    <mergeCell ref="B11:L11"/>
    <mergeCell ref="M11:O11"/>
    <mergeCell ref="B23:L23"/>
    <mergeCell ref="M23:O23"/>
    <mergeCell ref="B24:L24"/>
    <mergeCell ref="M24:O24"/>
    <mergeCell ref="B25:L25"/>
    <mergeCell ref="M25:O25"/>
    <mergeCell ref="L18:O18"/>
    <mergeCell ref="B20:O20"/>
    <mergeCell ref="B21:L21"/>
    <mergeCell ref="M21:O21"/>
    <mergeCell ref="B22:L22"/>
    <mergeCell ref="M22:O22"/>
    <mergeCell ref="R31:U31"/>
    <mergeCell ref="R30:U30"/>
    <mergeCell ref="R27:U28"/>
    <mergeCell ref="B48:P49"/>
    <mergeCell ref="F43:I44"/>
    <mergeCell ref="C17:D17"/>
    <mergeCell ref="B8:O8"/>
    <mergeCell ref="B2:O2"/>
    <mergeCell ref="B3:O3"/>
    <mergeCell ref="B4:D4"/>
    <mergeCell ref="E4:O4"/>
    <mergeCell ref="B5:D5"/>
    <mergeCell ref="E5:O5"/>
    <mergeCell ref="B6:D6"/>
    <mergeCell ref="E6:I6"/>
    <mergeCell ref="J6:K6"/>
    <mergeCell ref="L6:O6"/>
    <mergeCell ref="B7:O7"/>
    <mergeCell ref="B15:O15"/>
    <mergeCell ref="B9:L9"/>
    <mergeCell ref="B12:L12"/>
    <mergeCell ref="M12:O12"/>
    <mergeCell ref="B13:L13"/>
    <mergeCell ref="M13:O13"/>
  </mergeCells>
  <phoneticPr fontId="45" type="noConversion"/>
  <pageMargins left="0.70866141732283472" right="0.70866141732283472" top="0.74803149606299213" bottom="0.74803149606299213" header="0.31496062992125984" footer="0.31496062992125984"/>
  <pageSetup paperSize="9" scale="8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New_10E_2023_24">
                <anchor moveWithCells="1" sizeWithCells="1">
                  <from>
                    <xdr:col>5</xdr:col>
                    <xdr:colOff>198120</xdr:colOff>
                    <xdr:row>42</xdr:row>
                    <xdr:rowOff>114300</xdr:rowOff>
                  </from>
                  <to>
                    <xdr:col>8</xdr:col>
                    <xdr:colOff>441960</xdr:colOff>
                    <xdr:row>43</xdr:row>
                    <xdr:rowOff>144780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N34"/>
  <sheetViews>
    <sheetView workbookViewId="0">
      <selection activeCell="J11" sqref="J11"/>
    </sheetView>
  </sheetViews>
  <sheetFormatPr defaultRowHeight="14.4"/>
  <cols>
    <col min="1" max="1" width="10.21875" customWidth="1"/>
    <col min="2" max="3" width="11.77734375" customWidth="1"/>
    <col min="4" max="5" width="9.77734375" customWidth="1"/>
    <col min="6" max="6" width="11" customWidth="1"/>
  </cols>
  <sheetData>
    <row r="1" spans="1:14" ht="15" thickBot="1">
      <c r="A1" s="1434" t="s">
        <v>724</v>
      </c>
      <c r="B1" s="1434"/>
      <c r="C1" s="1434"/>
      <c r="D1" s="1434"/>
      <c r="E1" s="1434"/>
      <c r="F1" s="1434"/>
      <c r="M1" t="s">
        <v>927</v>
      </c>
    </row>
    <row r="2" spans="1:14" ht="15" thickBot="1">
      <c r="A2" s="540" t="s">
        <v>713</v>
      </c>
      <c r="B2" s="540" t="s">
        <v>714</v>
      </c>
      <c r="C2" s="540" t="s">
        <v>175</v>
      </c>
      <c r="D2" s="540" t="s">
        <v>715</v>
      </c>
      <c r="E2" s="540" t="s">
        <v>716</v>
      </c>
      <c r="F2" s="606" t="s">
        <v>460</v>
      </c>
      <c r="G2" s="1432" t="s">
        <v>717</v>
      </c>
      <c r="H2" s="1432"/>
      <c r="I2" s="1433" t="s">
        <v>718</v>
      </c>
      <c r="J2" s="1433"/>
      <c r="K2" s="1433"/>
      <c r="L2" s="552" t="str">
        <f>Assesment!P3</f>
        <v>1</v>
      </c>
      <c r="M2" s="605">
        <v>2</v>
      </c>
      <c r="N2" t="s">
        <v>951</v>
      </c>
    </row>
    <row r="3" spans="1:14" ht="15" thickBot="1">
      <c r="A3" s="540" t="s">
        <v>738</v>
      </c>
      <c r="B3" s="540">
        <f>'Form 10E'!D33</f>
        <v>0</v>
      </c>
      <c r="C3" s="541">
        <f>H3</f>
        <v>0</v>
      </c>
      <c r="D3" s="540"/>
      <c r="E3" s="540">
        <f>ROUND((C3*0.03),0)</f>
        <v>0</v>
      </c>
      <c r="F3" s="606">
        <f t="shared" ref="F3:F10" si="0">C3+D3+E3</f>
        <v>0</v>
      </c>
      <c r="G3" s="607">
        <f>IF($B3&gt;1000000, 125000+($B3-1000000)*0.3, IF($B3&gt;500000, 25000+($B3-500000)*0.2, IF($B3&gt;250000, ($B3-250000)*0.1, 0)))</f>
        <v>0</v>
      </c>
      <c r="H3" s="608">
        <f>IF(B3&lt;500001,G3-MIN(G3,5000),G3)</f>
        <v>0</v>
      </c>
      <c r="I3" s="609"/>
      <c r="J3" s="609"/>
      <c r="K3" s="609"/>
      <c r="L3" s="552"/>
      <c r="M3" s="605"/>
    </row>
    <row r="4" spans="1:14" ht="15" thickBot="1">
      <c r="A4" s="540" t="s">
        <v>710</v>
      </c>
      <c r="B4" s="540">
        <f>'Form 10E'!D34</f>
        <v>400000</v>
      </c>
      <c r="C4" s="541">
        <f>H4</f>
        <v>7500</v>
      </c>
      <c r="D4" s="540">
        <f>IF(B4&gt;10000000,C4*0.15,0)</f>
        <v>0</v>
      </c>
      <c r="E4" s="540">
        <f>ROUND((C4*0.03),0)</f>
        <v>225</v>
      </c>
      <c r="F4" s="606">
        <f t="shared" si="0"/>
        <v>7725</v>
      </c>
      <c r="G4" s="607">
        <f>IF($B4&gt;1000000, 112500+($B4-1000000)*0.3, IF($B4&gt;500000, 12500+($B4-500000)*0.2, IF($B4&gt;250000, ($B4-250000)*0.05, 0)))</f>
        <v>7500</v>
      </c>
      <c r="H4" s="608">
        <f>IF($B4&lt;350001,G4-MIN(G4,2500),G4)</f>
        <v>7500</v>
      </c>
      <c r="I4" s="609"/>
      <c r="J4" s="609"/>
      <c r="K4" s="609"/>
      <c r="M4" s="605">
        <v>2</v>
      </c>
      <c r="N4" t="s">
        <v>952</v>
      </c>
    </row>
    <row r="5" spans="1:14" ht="15" thickBot="1">
      <c r="A5" s="540" t="s">
        <v>711</v>
      </c>
      <c r="B5" s="540">
        <f>'Form 10E'!D35</f>
        <v>700000</v>
      </c>
      <c r="C5" s="541">
        <f>H5</f>
        <v>52500</v>
      </c>
      <c r="D5" s="540"/>
      <c r="E5" s="540">
        <f t="shared" ref="E5:E10" si="1">ROUND((C5*0.04),0)</f>
        <v>2100</v>
      </c>
      <c r="F5" s="606">
        <f t="shared" si="0"/>
        <v>54600</v>
      </c>
      <c r="G5" s="607">
        <f>IF($B5&gt;1000000, 112500+($B5-1000000)*0.3, IF($B5&gt;500000, 12500+($B5-500000)*0.2, IF($B5&gt;250000, ($B5-250000)*0.05, 0)))</f>
        <v>52500</v>
      </c>
      <c r="H5" s="608">
        <f>IF($B5&lt;350001,G5-MIN(G5,2500),G5)</f>
        <v>52500</v>
      </c>
      <c r="I5" s="609"/>
      <c r="J5" s="609"/>
      <c r="K5" s="609"/>
    </row>
    <row r="6" spans="1:14" ht="15" thickBot="1">
      <c r="A6" s="540" t="s">
        <v>712</v>
      </c>
      <c r="B6" s="540">
        <f>'Form 10E'!D36</f>
        <v>850000</v>
      </c>
      <c r="C6" s="541">
        <f>H6</f>
        <v>82500</v>
      </c>
      <c r="D6" s="540"/>
      <c r="E6" s="540">
        <f t="shared" si="1"/>
        <v>3300</v>
      </c>
      <c r="F6" s="606">
        <f t="shared" si="0"/>
        <v>85800</v>
      </c>
      <c r="G6" s="608">
        <f>IF($B6&gt;1000000, 112500+($B6-1000000)*0.3, IF($B6&gt;500000, 12500+($B6-500000)*0.2, IF($B6&gt;250000, ($B6-250000)*0.05, 0)))</f>
        <v>82500</v>
      </c>
      <c r="H6" s="608">
        <f>IF(B6&lt;500001,G6-MIN(G6,12500),G6)</f>
        <v>82500</v>
      </c>
      <c r="I6" s="609"/>
      <c r="J6" s="609"/>
      <c r="K6" s="609"/>
    </row>
    <row r="7" spans="1:14" ht="15" thickBot="1">
      <c r="A7" s="540" t="s">
        <v>719</v>
      </c>
      <c r="B7" s="540">
        <f>'Form 10E'!D37</f>
        <v>510000</v>
      </c>
      <c r="C7" s="540">
        <f>IF($M$2=2,K7,IF(B7&lt;=500000,H7,G7))</f>
        <v>13500</v>
      </c>
      <c r="D7" s="540"/>
      <c r="E7" s="540">
        <f t="shared" si="1"/>
        <v>540</v>
      </c>
      <c r="F7" s="606">
        <f t="shared" si="0"/>
        <v>14040</v>
      </c>
      <c r="G7" s="608">
        <f>ROUND(IF(B7&lt;=250000,0,IF(B7&lt;=500000,(B7-250000)*0.05,IF(B7&lt;=1000000,12500+(B7-500000)*0.2,IF(B7&gt;1000000,112500+(B7-1000000)*0.3,"0")))),0)</f>
        <v>14500</v>
      </c>
      <c r="H7" s="608">
        <f>IF(AND(B7&lt;=500000,G7&gt;=12500),G7-12500,IF(AND(B7&lt;=500000,G7&lt;12500),0,G7))</f>
        <v>14500</v>
      </c>
      <c r="I7" s="608">
        <f>ROUND(IF(B7&lt;=250000,0,IF(B7&lt;=500000,(B7-250000)*0.05,IF(B7&lt;=750000,12500+(B7-500000)*0.1,IF(B7&lt;=1000000,37500+(B7-750000)*0.15,IF(B7&lt;=1250000,75000+(B7-1000000)*0.2,IF(B7&lt;=1500000,125000+(B7-1250000)*0.25,IF(B7&gt;1500000,187500+(B7-1500000)*0.3,"0"))))))),0)</f>
        <v>13500</v>
      </c>
      <c r="J7" s="608">
        <f>IF(AND(B7&lt;=500000,I7&gt;=12500),I7-12500,IF(AND(B7&lt;=500000,I7&lt;12500),0,I7))</f>
        <v>13500</v>
      </c>
      <c r="K7" s="608">
        <f>IF(B7&lt;=500000,J7,I7)</f>
        <v>13500</v>
      </c>
    </row>
    <row r="8" spans="1:14" ht="15" thickBot="1">
      <c r="A8" s="540" t="s">
        <v>721</v>
      </c>
      <c r="B8" s="540">
        <f>'Form 10E'!D38</f>
        <v>510000</v>
      </c>
      <c r="C8" s="540">
        <f>IF($M$4=2,K8,IF(B8&lt;=500000,H8,G8))</f>
        <v>13500</v>
      </c>
      <c r="D8" s="540"/>
      <c r="E8" s="540">
        <f t="shared" si="1"/>
        <v>540</v>
      </c>
      <c r="F8" s="606">
        <f t="shared" si="0"/>
        <v>14040</v>
      </c>
      <c r="G8" s="608">
        <f>ROUND(IF(B8&lt;=250000,0,IF(B8&lt;=500000,(B8-250000)*0.05,IF(B8&lt;=1000000,12500+(B8-500000)*0.2,IF(B8&gt;1000000,112500+(B8-1000000)*0.3,"0")))),0)</f>
        <v>14500</v>
      </c>
      <c r="H8" s="608">
        <f>IF(AND(B8&lt;=500000,G8&gt;=12500),G8-12500,IF(AND(B8&lt;=500000,G8&lt;12500),0,G8))</f>
        <v>14500</v>
      </c>
      <c r="I8" s="608">
        <f>ROUND(IF(B8&lt;=250000,0,IF(B8&lt;=500000,(B8-250000)*0.05,IF(B8&lt;=750000,12500+(B8-500000)*0.1,IF(B8&lt;=1000000,37500+(B8-750000)*0.15,IF(B8&lt;=1250000,75000+(B8-1000000)*0.2,IF(B8&lt;=1500000,125000+(B8-1250000)*0.25,IF(B8&gt;1500000,187500+(B8-1500000)*0.3,"0"))))))),0)</f>
        <v>13500</v>
      </c>
      <c r="J8" s="608">
        <f>IF(AND(B8&lt;=500000,I8&gt;=12500),I8-12500,IF(AND(B8&lt;=500000,I8&lt;12500),0,I8))</f>
        <v>13500</v>
      </c>
      <c r="K8" s="608">
        <f>IF(B8&lt;=500000,J8,I8)</f>
        <v>13500</v>
      </c>
    </row>
    <row r="9" spans="1:14" ht="15" thickBot="1">
      <c r="A9" s="628" t="s">
        <v>926</v>
      </c>
      <c r="B9" s="628">
        <f>'Form 10E'!D39</f>
        <v>650000</v>
      </c>
      <c r="C9" s="628">
        <f>IF($M$9=2,K9,IF(B9&lt;=500000,H9,G9))</f>
        <v>27500</v>
      </c>
      <c r="D9" s="628"/>
      <c r="E9" s="628">
        <f t="shared" si="1"/>
        <v>1100</v>
      </c>
      <c r="F9" s="629">
        <f t="shared" si="0"/>
        <v>28600</v>
      </c>
      <c r="G9" s="630">
        <f>ROUND(IF(B9&lt;=250000,0,IF(B9&lt;=500000,(B9-250000)*0.05,IF(B9&lt;=1000000,12500+(B9-500000)*0.2,IF(B9&gt;1000000,112500+(B9-1000000)*0.3,"0")))),0)</f>
        <v>42500</v>
      </c>
      <c r="H9" s="630">
        <f>IF(AND(B9&lt;=500000,G9&gt;=12500),G9-12500,IF(AND(B9&lt;=500000,G9&lt;12500),0,G9))</f>
        <v>42500</v>
      </c>
      <c r="I9" s="630">
        <f>ROUND(IF(B9&lt;=250000,0,IF(B9&lt;=500000,(B9-250000)*0.05,IF(B9&lt;=750000,12500+(B9-500000)*0.1,IF(B9&lt;=1000000,37500+(B9-750000)*0.15,IF(B9&lt;=1250000,75000+(B9-1000000)*0.2,IF(B9&lt;=1500000,125000+(B9-1250000)*0.25,IF(B9&gt;1500000,187500+(B9-1500000)*0.3,"0"))))))),0)</f>
        <v>27500</v>
      </c>
      <c r="J9" s="630">
        <f>IF(AND(B9&lt;=500000,I9&gt;=12500),I9-12500,IF(AND(B9&lt;=500000,I9&lt;12500),0,I9))</f>
        <v>27500</v>
      </c>
      <c r="K9" s="630">
        <f>IF(B9&lt;=500000,J9,I9)</f>
        <v>27500</v>
      </c>
      <c r="M9" s="615">
        <v>2</v>
      </c>
      <c r="N9" t="s">
        <v>953</v>
      </c>
    </row>
    <row r="10" spans="1:14">
      <c r="A10" s="608" t="s">
        <v>923</v>
      </c>
      <c r="B10" s="628">
        <f>'Form 10E'!D40</f>
        <v>670000</v>
      </c>
      <c r="C10" s="628">
        <f>IF($M$9=2,K10,IF(B10&lt;=500000,H10,G10))</f>
        <v>22000</v>
      </c>
      <c r="D10" s="608"/>
      <c r="E10" s="608">
        <f t="shared" si="1"/>
        <v>880</v>
      </c>
      <c r="F10" s="608">
        <f t="shared" si="0"/>
        <v>22880</v>
      </c>
      <c r="G10" s="608">
        <f>ROUND(IF(B10&lt;=250000,0,IF(B10&lt;=500000,(B10-250000)*0.05,IF(B10&lt;=1000000,12500+(B10-500000)*0.2,IF(B10&gt;1000000,112500+(B10-1000000)*0.3,"0")))),0)</f>
        <v>46500</v>
      </c>
      <c r="H10" s="608">
        <f>IF(AND(B10&lt;=500000,G10&gt;=12500),G10-12500,IF(AND(B10&lt;=500000,G10&lt;12500),0,G10))</f>
        <v>46500</v>
      </c>
      <c r="I10" s="608">
        <f>ROUND(IF(B10&lt;=300000,0,IF(B10&lt;=600000,(B10-300000)*0.05,IF(B10&lt;=900000,15000+(B10-600000)*0.1,IF(B10&lt;=1200000,45000+(B10-900000)*0.15,IF(B10&lt;=1500000,75000+(B10-1000000)*0.2,IF(B10&gt;1500000,150000+(B10-1500000)*0.3,"0")))))),0)</f>
        <v>22000</v>
      </c>
      <c r="J10" s="608">
        <f>IF(AND(B10&lt;=700000,I10&gt;=25000),I10-25000,IF(AND(B10&lt;=500000,I10&lt;25000),0,I10))</f>
        <v>22000</v>
      </c>
      <c r="K10" s="608">
        <f>IF(B10&lt;=700000,J10,I10)</f>
        <v>22000</v>
      </c>
      <c r="M10">
        <v>2</v>
      </c>
      <c r="N10" t="s">
        <v>1002</v>
      </c>
    </row>
    <row r="11" spans="1:14">
      <c r="A11" s="608" t="s">
        <v>997</v>
      </c>
      <c r="B11" s="608">
        <f>'Form 10E'!$M$21</f>
        <v>258000</v>
      </c>
      <c r="C11" s="608">
        <f>IF($L$2="2",K11,IF(B11&lt;=500000,H11,G11))</f>
        <v>0</v>
      </c>
      <c r="D11" s="608"/>
      <c r="E11" s="608">
        <f t="shared" ref="E11" si="2">ROUND((C11*0.04),0)</f>
        <v>0</v>
      </c>
      <c r="F11" s="608">
        <f t="shared" ref="F11" si="3">C11+D11+E11</f>
        <v>0</v>
      </c>
      <c r="G11" s="608">
        <f>ROUND(IF(B11&lt;=250000,0,IF(B11&lt;=500000,(B11-250000)*0.05,IF(B11&lt;=1000000,12500+(B11-500000)*0.2,IF(B11&gt;1000000,112500+(B11-1000000)*0.3,"0")))),0)</f>
        <v>400</v>
      </c>
      <c r="H11" s="608">
        <f>IF(AND(B11&lt;=500000,G11&gt;=12500),G11-12500,IF(AND(B11&lt;=500000,G11&lt;12500),0,G11))</f>
        <v>0</v>
      </c>
      <c r="I11" s="608">
        <f>ROUND(IF(B11&lt;=300000,0,IF(B11&lt;=700000,(B11-300000)*0.05,IF(B11&lt;=1000000,20000+(B11-700000)*0.1,IF(B11&lt;=1200000,50000+(B11-1000000)*0.15,IF(B11&lt;=1500000,80000+(B11-1200000)*0.2,IF(B11&gt;1500000,140000+(B11-1500000)*0.3,"0")))))),0)</f>
        <v>0</v>
      </c>
      <c r="J11" s="608">
        <f>IF(AND(B11&lt;=700000,I11&gt;=25000),I11-25000,IF(AND(B11&lt;=500000,I11&lt;25000),0,I11))</f>
        <v>0</v>
      </c>
      <c r="K11" s="608">
        <f>IF(B11&lt;=700000,J11,I11)</f>
        <v>0</v>
      </c>
    </row>
    <row r="12" spans="1:14">
      <c r="A12" s="542"/>
      <c r="B12" s="542"/>
      <c r="C12" s="542"/>
      <c r="D12" s="542"/>
      <c r="E12" s="542"/>
      <c r="F12" s="542"/>
      <c r="G12" s="542"/>
      <c r="H12" s="542"/>
      <c r="I12" s="542"/>
      <c r="J12" s="542"/>
      <c r="K12" s="542"/>
    </row>
    <row r="13" spans="1:14" ht="15" thickBot="1">
      <c r="A13" s="1434" t="s">
        <v>720</v>
      </c>
      <c r="B13" s="1434"/>
      <c r="C13" s="1434"/>
      <c r="D13" s="1434"/>
      <c r="E13" s="1434"/>
      <c r="F13" s="1434"/>
      <c r="G13" s="542"/>
      <c r="H13" s="542"/>
      <c r="I13" s="542"/>
      <c r="J13" s="542"/>
      <c r="K13" s="542"/>
    </row>
    <row r="14" spans="1:14" ht="15" thickBot="1">
      <c r="A14" s="540" t="s">
        <v>713</v>
      </c>
      <c r="B14" s="540" t="s">
        <v>714</v>
      </c>
      <c r="C14" s="540" t="s">
        <v>175</v>
      </c>
      <c r="D14" s="540" t="s">
        <v>715</v>
      </c>
      <c r="E14" s="540" t="s">
        <v>716</v>
      </c>
      <c r="F14" s="540" t="s">
        <v>460</v>
      </c>
      <c r="G14" s="1432" t="s">
        <v>717</v>
      </c>
      <c r="H14" s="1432"/>
      <c r="I14" s="1433" t="s">
        <v>718</v>
      </c>
      <c r="J14" s="1433"/>
      <c r="K14" s="1433"/>
    </row>
    <row r="15" spans="1:14" ht="15" thickBot="1">
      <c r="A15" s="540" t="s">
        <v>738</v>
      </c>
      <c r="B15" s="540">
        <f>'Form 10E'!H33</f>
        <v>0</v>
      </c>
      <c r="C15" s="541">
        <f>H15</f>
        <v>0</v>
      </c>
      <c r="D15" s="540">
        <f>IF(B15&gt;10000000,C15*0.15,0)</f>
        <v>0</v>
      </c>
      <c r="E15" s="540">
        <f>ROUND((C15*0.03),0)</f>
        <v>0</v>
      </c>
      <c r="F15" s="606">
        <f t="shared" ref="F15:F23" si="4">C15+D15+E15</f>
        <v>0</v>
      </c>
      <c r="G15" s="608">
        <f>IF($B15&gt;1000000, 125000+($B15-1000000)*0.3, IF($B15&gt;500000, 25000+($B15-500000)*0.2, IF($B15&gt;250000, ($B15-250000)*0.1, 0)))</f>
        <v>0</v>
      </c>
      <c r="H15" s="608">
        <f>IF(B15&lt;500001,G15-MIN(G15,5000),G15)</f>
        <v>0</v>
      </c>
      <c r="I15" s="609"/>
      <c r="J15" s="609"/>
      <c r="K15" s="609"/>
    </row>
    <row r="16" spans="1:14" ht="15" thickBot="1">
      <c r="A16" s="540" t="s">
        <v>710</v>
      </c>
      <c r="B16" s="540">
        <f>'Form 10E'!H34</f>
        <v>430000</v>
      </c>
      <c r="C16" s="541">
        <f>H16</f>
        <v>9000</v>
      </c>
      <c r="D16" s="540">
        <f>IF(B16&gt;10000000,C16*0.15,0)</f>
        <v>0</v>
      </c>
      <c r="E16" s="540">
        <f>ROUND((C16*0.03),0)</f>
        <v>270</v>
      </c>
      <c r="F16" s="606">
        <f t="shared" si="4"/>
        <v>9270</v>
      </c>
      <c r="G16" s="608">
        <f>IF($B16&gt;1000000, 112500+($B16-1000000)*0.3, IF($B16&gt;500000, 12500+($B16-500000)*0.2, IF($B16&gt;250000, ($B16-250000)*0.05, 0)))</f>
        <v>9000</v>
      </c>
      <c r="H16" s="608">
        <f>IF($B16&lt;350001,G16-MIN(G16,2500),G16)</f>
        <v>9000</v>
      </c>
      <c r="I16" s="609"/>
      <c r="J16" s="609"/>
      <c r="K16" s="609"/>
    </row>
    <row r="17" spans="1:11" ht="15" thickBot="1">
      <c r="A17" s="540" t="s">
        <v>711</v>
      </c>
      <c r="B17" s="540">
        <f>'Form 10E'!H35</f>
        <v>740000</v>
      </c>
      <c r="C17" s="541">
        <f>H17</f>
        <v>60500</v>
      </c>
      <c r="D17" s="540"/>
      <c r="E17" s="540">
        <f t="shared" ref="E17:E23" si="5">ROUND((C17*0.04),0)</f>
        <v>2420</v>
      </c>
      <c r="F17" s="606">
        <f t="shared" si="4"/>
        <v>62920</v>
      </c>
      <c r="G17" s="608">
        <f>IF($B17&gt;1000000, 112500+($B17-1000000)*0.3, IF($B17&gt;500000, 12500+($B17-500000)*0.2, IF($B17&gt;250000, ($B17-250000)*0.05, 0)))</f>
        <v>60500</v>
      </c>
      <c r="H17" s="608">
        <f>IF($B17&lt;350001,G17-MIN(G17,2500),G17)</f>
        <v>60500</v>
      </c>
      <c r="I17" s="609"/>
      <c r="J17" s="609"/>
      <c r="K17" s="609"/>
    </row>
    <row r="18" spans="1:11" ht="15" thickBot="1">
      <c r="A18" s="540" t="s">
        <v>712</v>
      </c>
      <c r="B18" s="540">
        <f>'Form 10E'!H36</f>
        <v>900000</v>
      </c>
      <c r="C18" s="541">
        <f>H18</f>
        <v>92500</v>
      </c>
      <c r="D18" s="540"/>
      <c r="E18" s="540">
        <f t="shared" si="5"/>
        <v>3700</v>
      </c>
      <c r="F18" s="606">
        <f t="shared" si="4"/>
        <v>96200</v>
      </c>
      <c r="G18" s="608">
        <f>IF($B18&gt;1000000, 112500+($B18-1000000)*0.3, IF($B18&gt;500000, 12500+($B18-500000)*0.2, IF($B18&gt;250000, ($B18-250000)*0.05, 0)))</f>
        <v>92500</v>
      </c>
      <c r="H18" s="608">
        <f>IF(B18&lt;500001,G18-MIN(G18,12500),G18)</f>
        <v>92500</v>
      </c>
      <c r="I18" s="609"/>
      <c r="J18" s="609"/>
      <c r="K18" s="609"/>
    </row>
    <row r="19" spans="1:11" ht="15" thickBot="1">
      <c r="A19" s="540" t="s">
        <v>719</v>
      </c>
      <c r="B19" s="540">
        <f>'Form 10E'!H37</f>
        <v>570000</v>
      </c>
      <c r="C19" s="540">
        <f>IF($M$2=2,K19,IF(B19&lt;=500000,H19,G19))</f>
        <v>19500</v>
      </c>
      <c r="D19" s="540"/>
      <c r="E19" s="540">
        <f t="shared" si="5"/>
        <v>780</v>
      </c>
      <c r="F19" s="606">
        <f t="shared" si="4"/>
        <v>20280</v>
      </c>
      <c r="G19" s="608">
        <f>ROUND(IF(B19&lt;=250000,0,IF(B19&lt;=500000,(B19-250000)*0.05,IF(B19&lt;=1000000,12500+(B19-500000)*0.2,IF(B19&gt;1000000,112500+(B19-1000000)*0.3,"0")))),0)</f>
        <v>26500</v>
      </c>
      <c r="H19" s="608">
        <f>IF(AND(B19&lt;=500000,G19&gt;=12500),G19-12500,IF(AND(B19&lt;=500000,G19&lt;12500),0,G19))</f>
        <v>26500</v>
      </c>
      <c r="I19" s="608">
        <f>ROUND(IF(B19&lt;=250000,0,IF(B19&lt;=500000,(B19-250000)*0.05,IF(B19&lt;=750000,12500+(B19-500000)*0.1,IF(B19&lt;=1000000,37500+(B19-750000)*0.15,IF(B19&lt;=1250000,75000+(B19-1000000)*0.2,IF(B19&lt;=1500000,125000+(B19-1250000)*0.25,IF(B19&gt;1500000,187500+(B19-1500000)*0.3,"0"))))))),0)</f>
        <v>19500</v>
      </c>
      <c r="J19" s="608">
        <f>IF(AND(B19&lt;=500000,I19&gt;=12500),I19-12500,IF(AND(B19&lt;=500000,I19&lt;12500),0,I19))</f>
        <v>19500</v>
      </c>
      <c r="K19" s="608">
        <f>IF(B19&lt;=500000,J19,I19)</f>
        <v>19500</v>
      </c>
    </row>
    <row r="20" spans="1:11" ht="15" thickBot="1">
      <c r="A20" s="540" t="s">
        <v>721</v>
      </c>
      <c r="B20" s="540">
        <f>'Form 10E'!H38</f>
        <v>570000</v>
      </c>
      <c r="C20" s="540">
        <f>IF($M$4=2,K20,IF(B20&lt;=500000,H20,G20))</f>
        <v>19500</v>
      </c>
      <c r="D20" s="540"/>
      <c r="E20" s="540">
        <f t="shared" si="5"/>
        <v>780</v>
      </c>
      <c r="F20" s="606">
        <f t="shared" si="4"/>
        <v>20280</v>
      </c>
      <c r="G20" s="608">
        <f>ROUND(IF(B20&lt;=250000,0,IF(B20&lt;=500000,(B20-250000)*0.05,IF(B20&lt;=1000000,12500+(B20-500000)*0.2,IF(B20&gt;1000000,112500+(B20-1000000)*0.3,"0")))),0)</f>
        <v>26500</v>
      </c>
      <c r="H20" s="608">
        <f>IF(AND(B20&lt;=500000,G20&gt;=12500),G20-12500,IF(AND(B20&lt;=500000,G20&lt;12500),0,G20))</f>
        <v>26500</v>
      </c>
      <c r="I20" s="608">
        <f>ROUND(IF(B20&lt;=250000,0,IF(B20&lt;=500000,(B20-250000)*0.05,IF(B20&lt;=750000,12500+(B20-500000)*0.1,IF(B20&lt;=1000000,37500+(B20-750000)*0.15,IF(B20&lt;=1250000,75000+(B20-1000000)*0.2,IF(B20&lt;=1500000,125000+(B20-1250000)*0.25,IF(B20&gt;1500000,187500+(B20-1500000)*0.3,"0"))))))),0)</f>
        <v>19500</v>
      </c>
      <c r="J20" s="608">
        <f>IF(AND(B20&lt;=500000,I20&gt;=12500),I20-12500,IF(AND(B20&lt;=500000,I20&lt;12500),0,I20))</f>
        <v>19500</v>
      </c>
      <c r="K20" s="608">
        <f>IF(B20&lt;=500000,J20,I20)</f>
        <v>19500</v>
      </c>
    </row>
    <row r="21" spans="1:11" ht="15" thickBot="1">
      <c r="A21" s="628" t="s">
        <v>926</v>
      </c>
      <c r="B21" s="628">
        <f>'Form 10E'!H39</f>
        <v>710000</v>
      </c>
      <c r="C21" s="628">
        <f>IF($M$9=2,K21,IF(B21&lt;=500000,H21,G21))</f>
        <v>33500</v>
      </c>
      <c r="D21" s="628"/>
      <c r="E21" s="628">
        <f t="shared" si="5"/>
        <v>1340</v>
      </c>
      <c r="F21" s="629">
        <f>C21+D21+E21</f>
        <v>34840</v>
      </c>
      <c r="G21" s="630">
        <f>ROUND(IF(B21&lt;=250000,0,IF(B21&lt;=500000,(B21-250000)*0.05,IF(B21&lt;=1000000,12500+(B21-500000)*0.2,IF(B21&gt;1000000,112500+(B21-1000000)*0.3,"0")))),0)</f>
        <v>54500</v>
      </c>
      <c r="H21" s="630">
        <f>IF(AND(B21&lt;=500000,G21&gt;=12500),G21-12500,IF(AND(B21&lt;=500000,G21&lt;12500),0,G21))</f>
        <v>54500</v>
      </c>
      <c r="I21" s="630">
        <f>ROUND(IF(B21&lt;=250000,0,IF(B21&lt;=500000,(B21-250000)*0.05,IF(B21&lt;=750000,12500+(B21-500000)*0.1,IF(B21&lt;=1000000,37500+(B21-750000)*0.15,IF(B21&lt;=1250000,75000+(B21-1000000)*0.2,IF(B21&lt;=1500000,125000+(B21-1250000)*0.25,IF(B21&gt;1500000,187500+(B21-1500000)*0.3,"0"))))))),0)</f>
        <v>33500</v>
      </c>
      <c r="J21" s="630">
        <f>IF(AND(B21&lt;=500000,I21&gt;=12500),I21-12500,IF(AND(B21&lt;=500000,I21&lt;12500),0,I21))</f>
        <v>33500</v>
      </c>
      <c r="K21" s="630">
        <f>IF(B21&lt;=500000,J21,I21)</f>
        <v>33500</v>
      </c>
    </row>
    <row r="22" spans="1:11" ht="15" thickBot="1">
      <c r="A22" s="608" t="s">
        <v>923</v>
      </c>
      <c r="B22" s="628">
        <f>'Form 10E'!H40</f>
        <v>677000</v>
      </c>
      <c r="C22" s="628">
        <f>IF($M$9=2,K22,IF(B22&lt;=500000,H22,G22))</f>
        <v>22700</v>
      </c>
      <c r="D22" s="608"/>
      <c r="E22" s="628">
        <f t="shared" si="5"/>
        <v>908</v>
      </c>
      <c r="F22" s="608">
        <f t="shared" si="4"/>
        <v>23608</v>
      </c>
      <c r="G22" s="630">
        <f t="shared" ref="G22:G23" si="6">ROUND(IF(B22&lt;=250000,0,IF(B22&lt;=500000,(B22-250000)*0.05,IF(B22&lt;=1000000,12500+(B22-500000)*0.2,IF(B22&gt;1000000,112500+(B22-1000000)*0.3,"0")))),0)</f>
        <v>47900</v>
      </c>
      <c r="H22" s="630">
        <f t="shared" ref="H22:H23" si="7">IF(AND(B22&lt;=500000,G22&gt;=12500),G22-12500,IF(AND(B22&lt;=500000,G22&lt;12500),0,G22))</f>
        <v>47900</v>
      </c>
      <c r="I22" s="608">
        <f>ROUND(IF(B22&lt;=300000,0,IF(B22&lt;=600000,(B22-300000)*0.05,IF(B22&lt;=900000,15000+(B22-600000)*0.1,IF(B22&lt;=1200000,45000+(B22-900000)*0.15,IF(B22&lt;=1500000,75000+(B22-1000000)*0.2,IF(B22&gt;1500000,150000+(B22-1500000)*0.3,"0")))))),0)</f>
        <v>22700</v>
      </c>
      <c r="J22" s="608">
        <f>IF(AND(B22&lt;=500000,I22&gt;=12500),I22-12500,IF(AND(B22&lt;=500000,I22&lt;12500),0,I22))</f>
        <v>22700</v>
      </c>
      <c r="K22" s="608">
        <f>IF(B22&lt;=500000,J22,I22)</f>
        <v>22700</v>
      </c>
    </row>
    <row r="23" spans="1:11">
      <c r="A23" s="608" t="s">
        <v>997</v>
      </c>
      <c r="B23" s="608">
        <f>'Form 10E'!$M$23</f>
        <v>565000</v>
      </c>
      <c r="C23" s="608">
        <f>IF($L$2="2",K23,IF(B23&lt;=500000,H23,G23))</f>
        <v>25500</v>
      </c>
      <c r="D23" s="608"/>
      <c r="E23" s="628">
        <f t="shared" si="5"/>
        <v>1020</v>
      </c>
      <c r="F23" s="608">
        <f t="shared" si="4"/>
        <v>26520</v>
      </c>
      <c r="G23" s="630">
        <f t="shared" si="6"/>
        <v>25500</v>
      </c>
      <c r="H23" s="630">
        <f t="shared" si="7"/>
        <v>25500</v>
      </c>
      <c r="I23" s="608">
        <f>ROUND(IF(B23&lt;=300000,0,IF(B23&lt;=700000,(B23-300000)*0.05,IF(B23&lt;=1000000,20000+(B23-700000)*0.1,IF(B23&lt;=1200000,50000+(B23-1000000)*0.15,IF(B23&lt;=1500000,80000+(B23-1200000)*0.2,IF(B23&gt;1500000,140000+(B23-1500000)*0.3,"0")))))),0)</f>
        <v>13250</v>
      </c>
      <c r="J23" s="608">
        <f>IF(AND(B23&lt;=700000,I23&gt;=25000),I23-25000,IF(AND(B23&lt;=500000,I23&lt;25000),0,I23))</f>
        <v>13250</v>
      </c>
      <c r="K23" s="608">
        <f>IF(B23&lt;=700000,J23,I23)</f>
        <v>13250</v>
      </c>
    </row>
    <row r="24" spans="1:11">
      <c r="A24" s="542"/>
      <c r="B24" s="542"/>
      <c r="C24" s="542"/>
      <c r="D24" s="542"/>
      <c r="E24" s="542"/>
      <c r="F24" s="542"/>
      <c r="G24" s="542"/>
      <c r="H24" s="542"/>
      <c r="I24" s="542"/>
      <c r="J24" s="542"/>
      <c r="K24" s="542"/>
    </row>
    <row r="25" spans="1:11">
      <c r="A25" s="542"/>
      <c r="B25" s="542"/>
      <c r="C25" s="542"/>
      <c r="D25" s="542"/>
      <c r="E25" s="542"/>
      <c r="F25" s="542"/>
      <c r="G25" s="542"/>
      <c r="H25" s="542"/>
      <c r="I25" s="542"/>
      <c r="J25" s="542"/>
      <c r="K25" s="542"/>
    </row>
    <row r="26" spans="1:11">
      <c r="A26" s="542"/>
      <c r="B26" s="542"/>
      <c r="C26" s="542"/>
      <c r="D26" s="542"/>
      <c r="E26" s="542"/>
      <c r="F26" s="542"/>
      <c r="G26" s="542"/>
      <c r="H26" s="542"/>
      <c r="I26" s="542"/>
      <c r="J26" s="542"/>
      <c r="K26" s="542"/>
    </row>
    <row r="27" spans="1:11">
      <c r="F27" s="1435" t="s">
        <v>739</v>
      </c>
      <c r="G27" t="s">
        <v>740</v>
      </c>
    </row>
    <row r="28" spans="1:11">
      <c r="F28" s="1435"/>
      <c r="G28" t="s">
        <v>741</v>
      </c>
    </row>
    <row r="29" spans="1:11">
      <c r="F29" s="1435" t="s">
        <v>710</v>
      </c>
      <c r="G29" t="s">
        <v>729</v>
      </c>
    </row>
    <row r="30" spans="1:11">
      <c r="F30" s="1435"/>
      <c r="G30" t="s">
        <v>730</v>
      </c>
    </row>
    <row r="31" spans="1:11">
      <c r="F31" s="1435" t="s">
        <v>711</v>
      </c>
      <c r="G31" t="s">
        <v>731</v>
      </c>
    </row>
    <row r="32" spans="1:11">
      <c r="F32" s="1435"/>
      <c r="G32" t="s">
        <v>732</v>
      </c>
    </row>
    <row r="33" spans="6:7">
      <c r="F33" s="1435" t="s">
        <v>712</v>
      </c>
      <c r="G33" t="s">
        <v>733</v>
      </c>
    </row>
    <row r="34" spans="6:7">
      <c r="F34" s="1435"/>
      <c r="G34" t="s">
        <v>734</v>
      </c>
    </row>
  </sheetData>
  <mergeCells count="10">
    <mergeCell ref="A1:F1"/>
    <mergeCell ref="F29:F30"/>
    <mergeCell ref="F27:F28"/>
    <mergeCell ref="F33:F34"/>
    <mergeCell ref="F31:F32"/>
    <mergeCell ref="G14:H14"/>
    <mergeCell ref="I14:K14"/>
    <mergeCell ref="G2:H2"/>
    <mergeCell ref="I2:K2"/>
    <mergeCell ref="A13:F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FF0000"/>
  </sheetPr>
  <dimension ref="A1:B130"/>
  <sheetViews>
    <sheetView showGridLines="0" zoomScale="80" zoomScaleNormal="80" workbookViewId="0">
      <selection activeCell="B7" sqref="B7"/>
    </sheetView>
  </sheetViews>
  <sheetFormatPr defaultRowHeight="14.4"/>
  <cols>
    <col min="1" max="1" width="7.21875" bestFit="1" customWidth="1"/>
    <col min="2" max="2" width="178.5546875" customWidth="1"/>
  </cols>
  <sheetData>
    <row r="1" spans="1:2" ht="17.399999999999999">
      <c r="A1" s="1436" t="s">
        <v>268</v>
      </c>
      <c r="B1" s="1436"/>
    </row>
    <row r="2" spans="1:2" ht="15.6">
      <c r="A2" s="36"/>
      <c r="B2" s="37" t="s">
        <v>269</v>
      </c>
    </row>
    <row r="3" spans="1:2">
      <c r="A3" s="38">
        <v>1</v>
      </c>
      <c r="B3" s="125" t="s">
        <v>270</v>
      </c>
    </row>
    <row r="4" spans="1:2">
      <c r="A4" s="38">
        <v>2</v>
      </c>
      <c r="B4" s="125" t="s">
        <v>271</v>
      </c>
    </row>
    <row r="5" spans="1:2">
      <c r="A5" s="38">
        <v>3</v>
      </c>
      <c r="B5" t="s">
        <v>272</v>
      </c>
    </row>
    <row r="6" spans="1:2">
      <c r="A6" s="38">
        <v>4</v>
      </c>
      <c r="B6" s="39" t="s">
        <v>273</v>
      </c>
    </row>
    <row r="7" spans="1:2">
      <c r="A7" s="38" t="s">
        <v>274</v>
      </c>
      <c r="B7" t="s">
        <v>275</v>
      </c>
    </row>
    <row r="8" spans="1:2">
      <c r="A8" s="38" t="s">
        <v>276</v>
      </c>
      <c r="B8" t="s">
        <v>277</v>
      </c>
    </row>
    <row r="9" spans="1:2">
      <c r="A9" s="38" t="s">
        <v>278</v>
      </c>
      <c r="B9" t="s">
        <v>279</v>
      </c>
    </row>
    <row r="10" spans="1:2">
      <c r="A10" s="38" t="s">
        <v>180</v>
      </c>
      <c r="B10" t="s">
        <v>280</v>
      </c>
    </row>
    <row r="11" spans="1:2">
      <c r="A11" s="38" t="s">
        <v>281</v>
      </c>
      <c r="B11" t="s">
        <v>282</v>
      </c>
    </row>
    <row r="12" spans="1:2">
      <c r="A12" s="38" t="s">
        <v>283</v>
      </c>
      <c r="B12" t="s">
        <v>284</v>
      </c>
    </row>
    <row r="13" spans="1:2">
      <c r="A13" s="38" t="s">
        <v>285</v>
      </c>
      <c r="B13" t="s">
        <v>286</v>
      </c>
    </row>
    <row r="14" spans="1:2">
      <c r="A14" s="38" t="s">
        <v>287</v>
      </c>
      <c r="B14" t="s">
        <v>288</v>
      </c>
    </row>
    <row r="15" spans="1:2">
      <c r="A15" s="38" t="s">
        <v>289</v>
      </c>
      <c r="B15" t="s">
        <v>290</v>
      </c>
    </row>
    <row r="16" spans="1:2">
      <c r="A16" s="38" t="s">
        <v>291</v>
      </c>
      <c r="B16" t="s">
        <v>292</v>
      </c>
    </row>
    <row r="17" spans="1:2">
      <c r="A17" s="38" t="s">
        <v>293</v>
      </c>
      <c r="B17" t="s">
        <v>294</v>
      </c>
    </row>
    <row r="18" spans="1:2">
      <c r="A18" s="38" t="s">
        <v>295</v>
      </c>
      <c r="B18" t="s">
        <v>296</v>
      </c>
    </row>
    <row r="19" spans="1:2">
      <c r="A19" s="38" t="s">
        <v>297</v>
      </c>
      <c r="B19" t="s">
        <v>298</v>
      </c>
    </row>
    <row r="20" spans="1:2">
      <c r="A20" s="38" t="s">
        <v>299</v>
      </c>
      <c r="B20" t="s">
        <v>300</v>
      </c>
    </row>
    <row r="21" spans="1:2">
      <c r="A21" s="38" t="s">
        <v>301</v>
      </c>
      <c r="B21" t="s">
        <v>302</v>
      </c>
    </row>
    <row r="22" spans="1:2">
      <c r="A22" s="38">
        <v>5</v>
      </c>
      <c r="B22" t="s">
        <v>303</v>
      </c>
    </row>
    <row r="23" spans="1:2">
      <c r="A23" s="38" t="s">
        <v>304</v>
      </c>
      <c r="B23" t="s">
        <v>305</v>
      </c>
    </row>
    <row r="24" spans="1:2">
      <c r="A24" s="38" t="s">
        <v>306</v>
      </c>
      <c r="B24" t="s">
        <v>307</v>
      </c>
    </row>
    <row r="25" spans="1:2">
      <c r="A25" s="38" t="s">
        <v>308</v>
      </c>
      <c r="B25" t="s">
        <v>309</v>
      </c>
    </row>
    <row r="26" spans="1:2">
      <c r="A26" s="38" t="s">
        <v>310</v>
      </c>
      <c r="B26" t="s">
        <v>311</v>
      </c>
    </row>
    <row r="27" spans="1:2">
      <c r="A27" s="38" t="s">
        <v>312</v>
      </c>
      <c r="B27" t="s">
        <v>313</v>
      </c>
    </row>
    <row r="28" spans="1:2">
      <c r="A28" s="38" t="s">
        <v>314</v>
      </c>
      <c r="B28" t="s">
        <v>315</v>
      </c>
    </row>
    <row r="29" spans="1:2">
      <c r="A29" s="38" t="s">
        <v>316</v>
      </c>
      <c r="B29" t="s">
        <v>317</v>
      </c>
    </row>
    <row r="30" spans="1:2">
      <c r="A30" s="38" t="s">
        <v>318</v>
      </c>
      <c r="B30" t="s">
        <v>319</v>
      </c>
    </row>
    <row r="31" spans="1:2">
      <c r="A31" s="38" t="s">
        <v>320</v>
      </c>
      <c r="B31" t="s">
        <v>321</v>
      </c>
    </row>
    <row r="32" spans="1:2">
      <c r="A32" s="38" t="s">
        <v>322</v>
      </c>
      <c r="B32" t="s">
        <v>323</v>
      </c>
    </row>
    <row r="33" spans="1:2">
      <c r="A33" s="38" t="s">
        <v>267</v>
      </c>
      <c r="B33" t="s">
        <v>324</v>
      </c>
    </row>
    <row r="34" spans="1:2">
      <c r="A34" s="38" t="s">
        <v>325</v>
      </c>
      <c r="B34" t="s">
        <v>326</v>
      </c>
    </row>
    <row r="35" spans="1:2">
      <c r="A35" s="38" t="s">
        <v>327</v>
      </c>
      <c r="B35" t="s">
        <v>328</v>
      </c>
    </row>
    <row r="36" spans="1:2">
      <c r="A36" s="38">
        <v>6</v>
      </c>
      <c r="B36" t="s">
        <v>329</v>
      </c>
    </row>
    <row r="37" spans="1:2" ht="18" thickBot="1">
      <c r="A37" s="40"/>
      <c r="B37" s="41" t="s">
        <v>330</v>
      </c>
    </row>
    <row r="38" spans="1:2" ht="16.2" thickTop="1">
      <c r="A38" s="42"/>
      <c r="B38" s="43" t="s">
        <v>331</v>
      </c>
    </row>
    <row r="39" spans="1:2">
      <c r="A39" s="44"/>
      <c r="B39" s="45" t="s">
        <v>332</v>
      </c>
    </row>
    <row r="40" spans="1:2">
      <c r="A40" s="44"/>
      <c r="B40" s="46" t="s">
        <v>333</v>
      </c>
    </row>
    <row r="41" spans="1:2">
      <c r="A41" s="44"/>
      <c r="B41" s="46" t="s">
        <v>334</v>
      </c>
    </row>
    <row r="42" spans="1:2">
      <c r="A42" s="44"/>
      <c r="B42" s="46" t="s">
        <v>335</v>
      </c>
    </row>
    <row r="43" spans="1:2">
      <c r="A43" s="44"/>
      <c r="B43" s="46" t="s">
        <v>336</v>
      </c>
    </row>
    <row r="44" spans="1:2" ht="15" thickBot="1">
      <c r="A44" s="44"/>
      <c r="B44" s="47" t="s">
        <v>337</v>
      </c>
    </row>
    <row r="45" spans="1:2" ht="15.6">
      <c r="A45" s="44"/>
      <c r="B45" s="48" t="s">
        <v>338</v>
      </c>
    </row>
    <row r="46" spans="1:2">
      <c r="A46" s="44"/>
      <c r="B46" s="49" t="s">
        <v>339</v>
      </c>
    </row>
    <row r="47" spans="1:2">
      <c r="A47" s="44"/>
      <c r="B47" s="50" t="s">
        <v>340</v>
      </c>
    </row>
    <row r="48" spans="1:2">
      <c r="A48" s="44"/>
      <c r="B48" s="50" t="s">
        <v>341</v>
      </c>
    </row>
    <row r="49" spans="1:2">
      <c r="A49" s="44"/>
      <c r="B49" s="50" t="s">
        <v>342</v>
      </c>
    </row>
    <row r="50" spans="1:2">
      <c r="A50" s="44"/>
      <c r="B50" s="50" t="s">
        <v>343</v>
      </c>
    </row>
    <row r="51" spans="1:2" ht="15" thickBot="1">
      <c r="A51" s="44"/>
      <c r="B51" s="47" t="s">
        <v>344</v>
      </c>
    </row>
    <row r="52" spans="1:2" ht="15.6">
      <c r="A52" s="44"/>
      <c r="B52" s="51" t="s">
        <v>345</v>
      </c>
    </row>
    <row r="53" spans="1:2">
      <c r="A53" s="44"/>
      <c r="B53" s="52" t="s">
        <v>346</v>
      </c>
    </row>
    <row r="54" spans="1:2">
      <c r="A54" s="44"/>
      <c r="B54" s="53" t="s">
        <v>347</v>
      </c>
    </row>
    <row r="55" spans="1:2">
      <c r="A55" s="44"/>
      <c r="B55" s="53" t="s">
        <v>348</v>
      </c>
    </row>
    <row r="56" spans="1:2" ht="15" thickBot="1">
      <c r="A56" s="44"/>
      <c r="B56" s="53" t="s">
        <v>349</v>
      </c>
    </row>
    <row r="57" spans="1:2" ht="27.6" thickTop="1" thickBot="1">
      <c r="A57" s="125" t="s">
        <v>362</v>
      </c>
      <c r="B57" s="54" t="s">
        <v>350</v>
      </c>
    </row>
    <row r="58" spans="1:2" ht="18.600000000000001" thickTop="1" thickBot="1">
      <c r="A58" s="55"/>
      <c r="B58" s="56" t="s">
        <v>351</v>
      </c>
    </row>
    <row r="59" spans="1:2" ht="15" thickTop="1">
      <c r="A59" s="57"/>
      <c r="B59" s="58" t="s">
        <v>352</v>
      </c>
    </row>
    <row r="60" spans="1:2">
      <c r="A60" s="57"/>
      <c r="B60" s="59" t="s">
        <v>353</v>
      </c>
    </row>
    <row r="61" spans="1:2">
      <c r="A61" s="57"/>
      <c r="B61" s="60" t="s">
        <v>354</v>
      </c>
    </row>
    <row r="62" spans="1:2">
      <c r="A62" s="57"/>
      <c r="B62" s="61" t="s">
        <v>355</v>
      </c>
    </row>
    <row r="63" spans="1:2">
      <c r="A63" s="57"/>
      <c r="B63" s="61" t="s">
        <v>356</v>
      </c>
    </row>
    <row r="64" spans="1:2">
      <c r="A64" s="57"/>
      <c r="B64" s="61" t="s">
        <v>357</v>
      </c>
    </row>
    <row r="65" spans="1:2">
      <c r="A65" s="57"/>
      <c r="B65" s="61" t="s">
        <v>358</v>
      </c>
    </row>
    <row r="66" spans="1:2">
      <c r="A66" s="57"/>
      <c r="B66" s="61" t="s">
        <v>359</v>
      </c>
    </row>
    <row r="67" spans="1:2" ht="15" thickBot="1">
      <c r="A67" s="125" t="s">
        <v>362</v>
      </c>
      <c r="B67" s="62" t="s">
        <v>337</v>
      </c>
    </row>
    <row r="68" spans="1:2" ht="15" thickTop="1">
      <c r="A68" s="63"/>
      <c r="B68" s="64"/>
    </row>
    <row r="69" spans="1:2">
      <c r="A69" s="1"/>
      <c r="B69" s="65" t="s">
        <v>360</v>
      </c>
    </row>
    <row r="70" spans="1:2">
      <c r="A70" s="66"/>
      <c r="B70" t="s">
        <v>361</v>
      </c>
    </row>
    <row r="71" spans="1:2" ht="92.4">
      <c r="A71" s="125" t="s">
        <v>362</v>
      </c>
      <c r="B71" s="67" t="s">
        <v>363</v>
      </c>
    </row>
    <row r="72" spans="1:2" ht="55.2">
      <c r="A72" s="68"/>
      <c r="B72" s="69" t="s">
        <v>364</v>
      </c>
    </row>
    <row r="73" spans="1:2">
      <c r="A73" s="70"/>
      <c r="B73" s="71" t="s">
        <v>365</v>
      </c>
    </row>
    <row r="74" spans="1:2" ht="54">
      <c r="A74" s="72"/>
      <c r="B74" s="73" t="s">
        <v>366</v>
      </c>
    </row>
    <row r="75" spans="1:2">
      <c r="A75" s="1"/>
      <c r="B75" s="65" t="s">
        <v>367</v>
      </c>
    </row>
    <row r="76" spans="1:2">
      <c r="A76" s="74"/>
      <c r="B76" s="75" t="s">
        <v>368</v>
      </c>
    </row>
    <row r="77" spans="1:2">
      <c r="A77" s="76"/>
      <c r="B77" s="75" t="s">
        <v>369</v>
      </c>
    </row>
    <row r="78" spans="1:2" ht="15.6">
      <c r="A78" s="77"/>
      <c r="B78" s="78" t="s">
        <v>370</v>
      </c>
    </row>
    <row r="79" spans="1:2">
      <c r="A79" s="1"/>
      <c r="B79" s="75" t="s">
        <v>371</v>
      </c>
    </row>
    <row r="80" spans="1:2">
      <c r="A80" s="74"/>
      <c r="B80" s="79" t="s">
        <v>372</v>
      </c>
    </row>
    <row r="81" spans="1:2">
      <c r="A81" s="1"/>
      <c r="B81" s="80" t="s">
        <v>373</v>
      </c>
    </row>
    <row r="82" spans="1:2" ht="26.4">
      <c r="A82" s="125" t="s">
        <v>362</v>
      </c>
      <c r="B82" s="81" t="s">
        <v>374</v>
      </c>
    </row>
    <row r="83" spans="1:2">
      <c r="A83" s="125" t="s">
        <v>362</v>
      </c>
      <c r="B83" s="82" t="s">
        <v>375</v>
      </c>
    </row>
    <row r="84" spans="1:2" ht="93.6">
      <c r="A84" s="83" t="s">
        <v>274</v>
      </c>
      <c r="B84" s="84" t="s">
        <v>376</v>
      </c>
    </row>
    <row r="85" spans="1:2" ht="49.8">
      <c r="A85" s="85" t="s">
        <v>377</v>
      </c>
      <c r="B85" s="86" t="s">
        <v>378</v>
      </c>
    </row>
    <row r="86" spans="1:2">
      <c r="A86" s="85" t="s">
        <v>278</v>
      </c>
      <c r="B86" s="87" t="s">
        <v>379</v>
      </c>
    </row>
    <row r="87" spans="1:2" ht="25.8">
      <c r="A87" s="85" t="s">
        <v>180</v>
      </c>
      <c r="B87" s="88" t="s">
        <v>380</v>
      </c>
    </row>
    <row r="88" spans="1:2" ht="107.4">
      <c r="A88" s="89" t="s">
        <v>381</v>
      </c>
      <c r="B88" s="90" t="s">
        <v>382</v>
      </c>
    </row>
    <row r="89" spans="1:2" ht="28.8">
      <c r="A89" s="85" t="s">
        <v>383</v>
      </c>
      <c r="B89" s="91" t="s">
        <v>384</v>
      </c>
    </row>
    <row r="90" spans="1:2" ht="24">
      <c r="A90" s="85" t="s">
        <v>283</v>
      </c>
      <c r="B90" s="92" t="s">
        <v>385</v>
      </c>
    </row>
    <row r="91" spans="1:2" ht="125.4">
      <c r="A91" s="93" t="s">
        <v>386</v>
      </c>
      <c r="B91" s="94" t="s">
        <v>426</v>
      </c>
    </row>
    <row r="92" spans="1:2">
      <c r="A92" s="85" t="s">
        <v>287</v>
      </c>
      <c r="B92" s="95" t="s">
        <v>387</v>
      </c>
    </row>
    <row r="93" spans="1:2" ht="119.4">
      <c r="A93" s="85" t="s">
        <v>388</v>
      </c>
      <c r="B93" s="96" t="s">
        <v>389</v>
      </c>
    </row>
    <row r="94" spans="1:2">
      <c r="A94" s="85" t="s">
        <v>390</v>
      </c>
      <c r="B94" s="97" t="s">
        <v>391</v>
      </c>
    </row>
    <row r="95" spans="1:2" ht="79.8">
      <c r="A95" s="85" t="s">
        <v>392</v>
      </c>
      <c r="B95" s="96" t="s">
        <v>393</v>
      </c>
    </row>
    <row r="96" spans="1:2">
      <c r="A96" s="85" t="s">
        <v>295</v>
      </c>
      <c r="B96" s="98" t="s">
        <v>394</v>
      </c>
    </row>
    <row r="97" spans="1:2" ht="42">
      <c r="A97" s="85" t="s">
        <v>297</v>
      </c>
      <c r="B97" s="99" t="s">
        <v>395</v>
      </c>
    </row>
    <row r="98" spans="1:2" ht="27">
      <c r="A98" s="100" t="s">
        <v>396</v>
      </c>
      <c r="B98" s="101" t="s">
        <v>397</v>
      </c>
    </row>
    <row r="99" spans="1:2">
      <c r="A99" s="102" t="s">
        <v>301</v>
      </c>
      <c r="B99" s="103" t="s">
        <v>398</v>
      </c>
    </row>
    <row r="100" spans="1:2" ht="55.2">
      <c r="A100" s="72" t="s">
        <v>399</v>
      </c>
      <c r="B100" s="104" t="s">
        <v>427</v>
      </c>
    </row>
    <row r="101" spans="1:2" ht="15.6">
      <c r="A101" s="125" t="s">
        <v>362</v>
      </c>
      <c r="B101" s="105" t="s">
        <v>400</v>
      </c>
    </row>
    <row r="102" spans="1:2" ht="129.6">
      <c r="A102" s="106"/>
      <c r="B102" s="107" t="s">
        <v>401</v>
      </c>
    </row>
    <row r="103" spans="1:2" ht="15.6">
      <c r="A103" s="125" t="s">
        <v>362</v>
      </c>
      <c r="B103" s="108" t="s">
        <v>402</v>
      </c>
    </row>
    <row r="104" spans="1:2" ht="100.8">
      <c r="A104" s="6" t="s">
        <v>304</v>
      </c>
      <c r="B104" s="109" t="s">
        <v>403</v>
      </c>
    </row>
    <row r="105" spans="1:2" ht="72">
      <c r="A105" s="110" t="s">
        <v>306</v>
      </c>
      <c r="B105" s="111" t="s">
        <v>404</v>
      </c>
    </row>
    <row r="106" spans="1:2" ht="57.6">
      <c r="A106" s="110" t="s">
        <v>308</v>
      </c>
      <c r="B106" s="109" t="s">
        <v>405</v>
      </c>
    </row>
    <row r="107" spans="1:2" ht="43.2">
      <c r="A107" s="6" t="s">
        <v>310</v>
      </c>
      <c r="B107" s="112" t="s">
        <v>406</v>
      </c>
    </row>
    <row r="108" spans="1:2" ht="86.4">
      <c r="A108" s="70" t="s">
        <v>312</v>
      </c>
      <c r="B108" s="113" t="s">
        <v>407</v>
      </c>
    </row>
    <row r="109" spans="1:2" ht="86.4">
      <c r="A109" s="70" t="s">
        <v>314</v>
      </c>
      <c r="B109" s="114" t="s">
        <v>408</v>
      </c>
    </row>
    <row r="110" spans="1:2" ht="57.6">
      <c r="A110" s="70" t="s">
        <v>316</v>
      </c>
      <c r="B110" s="113" t="s">
        <v>409</v>
      </c>
    </row>
    <row r="111" spans="1:2" ht="115.2">
      <c r="A111" s="68" t="s">
        <v>318</v>
      </c>
      <c r="B111" s="109" t="s">
        <v>410</v>
      </c>
    </row>
    <row r="112" spans="1:2" ht="86.4">
      <c r="A112" s="68" t="s">
        <v>320</v>
      </c>
      <c r="B112" s="115" t="s">
        <v>411</v>
      </c>
    </row>
    <row r="113" spans="1:2" ht="86.4">
      <c r="A113" s="116" t="s">
        <v>322</v>
      </c>
      <c r="B113" s="112" t="s">
        <v>412</v>
      </c>
    </row>
    <row r="114" spans="1:2" ht="100.8">
      <c r="A114" s="117" t="s">
        <v>267</v>
      </c>
      <c r="B114" s="112" t="s">
        <v>413</v>
      </c>
    </row>
    <row r="115" spans="1:2">
      <c r="A115" s="118" t="s">
        <v>325</v>
      </c>
      <c r="B115" s="119" t="s">
        <v>414</v>
      </c>
    </row>
    <row r="116" spans="1:2">
      <c r="A116" s="118"/>
      <c r="B116" s="109"/>
    </row>
    <row r="117" spans="1:2" ht="17.399999999999999">
      <c r="A117" s="125" t="s">
        <v>362</v>
      </c>
      <c r="B117" s="120" t="s">
        <v>329</v>
      </c>
    </row>
    <row r="118" spans="1:2" ht="15">
      <c r="A118" s="118"/>
      <c r="B118" s="121" t="s">
        <v>415</v>
      </c>
    </row>
    <row r="119" spans="1:2">
      <c r="A119" s="118"/>
      <c r="B119" s="122" t="s">
        <v>416</v>
      </c>
    </row>
    <row r="120" spans="1:2">
      <c r="A120" s="118"/>
      <c r="B120" s="122"/>
    </row>
    <row r="121" spans="1:2" ht="15.6">
      <c r="A121" s="118"/>
      <c r="B121" s="123" t="s">
        <v>417</v>
      </c>
    </row>
    <row r="122" spans="1:2" ht="16.8">
      <c r="A122" s="118"/>
      <c r="B122" s="124" t="s">
        <v>418</v>
      </c>
    </row>
    <row r="123" spans="1:2" ht="16.8">
      <c r="A123" s="118"/>
      <c r="B123" s="124" t="s">
        <v>419</v>
      </c>
    </row>
    <row r="124" spans="1:2" ht="16.8">
      <c r="A124" s="118"/>
      <c r="B124" s="124" t="s">
        <v>420</v>
      </c>
    </row>
    <row r="125" spans="1:2" ht="16.8">
      <c r="A125" s="118"/>
      <c r="B125" s="124" t="s">
        <v>421</v>
      </c>
    </row>
    <row r="126" spans="1:2" ht="16.8">
      <c r="A126" s="118"/>
      <c r="B126" s="124" t="s">
        <v>422</v>
      </c>
    </row>
    <row r="127" spans="1:2" ht="16.8">
      <c r="A127" s="118"/>
      <c r="B127" s="124" t="s">
        <v>423</v>
      </c>
    </row>
    <row r="128" spans="1:2" ht="16.8">
      <c r="A128" s="118"/>
      <c r="B128" s="124" t="s">
        <v>424</v>
      </c>
    </row>
    <row r="129" spans="1:2" ht="16.8">
      <c r="A129" s="118"/>
      <c r="B129" s="124" t="s">
        <v>425</v>
      </c>
    </row>
    <row r="130" spans="1:2">
      <c r="A130" s="118"/>
      <c r="B130" s="109"/>
    </row>
  </sheetData>
  <sheetProtection password="CE25" sheet="1" objects="1" scenarios="1"/>
  <customSheetViews>
    <customSheetView guid="{1E5138D0-1BD0-4D7E-A5B4-E19521ADA196}" scale="90" showGridLines="0">
      <selection activeCell="B11" sqref="B11"/>
      <pageMargins left="0.7" right="0.7" top="0.75" bottom="0.75" header="0.3" footer="0.3"/>
    </customSheetView>
  </customSheetViews>
  <mergeCells count="1">
    <mergeCell ref="A1:B1"/>
  </mergeCells>
  <hyperlinks>
    <hyperlink ref="B3" location="RULES!A38:A56" display="New Tax  Rates  for Financial-Year 2020-21, Assessment Year 2021-2022 in Old and New Regime" xr:uid="{00000000-0004-0000-0F00-000000000000}"/>
    <hyperlink ref="A57" location="RULES!A1" display="Back ↑    " xr:uid="{00000000-0004-0000-0F00-000001000000}"/>
    <hyperlink ref="A67" location="RULES!A1" display="Back ↑    " xr:uid="{00000000-0004-0000-0F00-000002000000}"/>
    <hyperlink ref="A71" location="RULES!A1" display="Back ↑    " xr:uid="{00000000-0004-0000-0F00-000003000000}"/>
    <hyperlink ref="A82" location="RULES!A1" display="Back ↑    " xr:uid="{00000000-0004-0000-0F00-000004000000}"/>
    <hyperlink ref="A83" location="RULES!A1" display="Back ↑    " xr:uid="{00000000-0004-0000-0F00-000005000000}"/>
    <hyperlink ref="A101" location="RULES!A1" display="Back ↑    " xr:uid="{00000000-0004-0000-0F00-000006000000}"/>
    <hyperlink ref="A103" location="RULES!A1" display="Back ↑    " xr:uid="{00000000-0004-0000-0F00-000007000000}"/>
    <hyperlink ref="A117" location="RULES!A1" display="Back ↑    " xr:uid="{00000000-0004-0000-0F00-000008000000}"/>
    <hyperlink ref="B4" location="RULES!A69:A71" display="Some  Exempted Receipts / Special allowances &amp;  Perquisite which are not chargable to tax in Old regime" xr:uid="{00000000-0004-0000-0F00-000009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Q16"/>
  <sheetViews>
    <sheetView showGridLines="0" zoomScale="80" zoomScaleNormal="80" workbookViewId="0">
      <selection activeCell="D5" sqref="D5:D12"/>
    </sheetView>
  </sheetViews>
  <sheetFormatPr defaultColWidth="0" defaultRowHeight="14.4" zeroHeight="1"/>
  <cols>
    <col min="1" max="1" width="3.77734375" style="14" customWidth="1"/>
    <col min="2" max="2" width="42.44140625" style="14" customWidth="1"/>
    <col min="3" max="3" width="34.21875" style="14" customWidth="1"/>
    <col min="4" max="4" width="4.77734375" style="14" customWidth="1"/>
    <col min="5" max="5" width="29.77734375" style="14" customWidth="1"/>
    <col min="6" max="6" width="55.5546875" style="14" customWidth="1"/>
    <col min="7" max="8" width="2.77734375" style="14" customWidth="1"/>
    <col min="9" max="9" width="11" style="14" customWidth="1"/>
    <col min="10" max="10" width="8.77734375" style="14" hidden="1" customWidth="1"/>
    <col min="11" max="14" width="8.77734375" style="14" customWidth="1"/>
    <col min="15" max="15" width="7.21875" style="14" customWidth="1"/>
    <col min="16" max="16" width="8.77734375" style="14" customWidth="1"/>
    <col min="17" max="17" width="8.77734375" style="14" hidden="1" customWidth="1"/>
    <col min="18" max="29" width="0" style="14" hidden="1" customWidth="1"/>
    <col min="30" max="30" width="8.77734375" style="14" hidden="1" customWidth="1"/>
    <col min="31" max="36" width="0" style="14" hidden="1" customWidth="1"/>
    <col min="37" max="37" width="8.77734375" style="14" hidden="1" customWidth="1"/>
    <col min="38" max="43" width="0" style="14" hidden="1" customWidth="1"/>
    <col min="44" max="16384" width="8.77734375" style="14" hidden="1"/>
  </cols>
  <sheetData>
    <row r="1" spans="1:21" ht="15" thickBot="1">
      <c r="A1" s="486"/>
      <c r="B1" s="487"/>
      <c r="C1" s="487"/>
      <c r="D1" s="487"/>
      <c r="E1" s="487"/>
      <c r="F1" s="487"/>
      <c r="G1" s="488"/>
    </row>
    <row r="2" spans="1:21" ht="18" customHeight="1" thickTop="1" thickBot="1">
      <c r="A2" s="489"/>
      <c r="B2" s="648" t="s">
        <v>983</v>
      </c>
      <c r="C2" s="649"/>
      <c r="D2" s="649"/>
      <c r="E2" s="649"/>
      <c r="F2" s="650"/>
      <c r="G2" s="490"/>
    </row>
    <row r="3" spans="1:21" ht="22.5" customHeight="1" thickBot="1">
      <c r="A3" s="489"/>
      <c r="B3" s="651"/>
      <c r="C3" s="652"/>
      <c r="D3" s="652"/>
      <c r="E3" s="652"/>
      <c r="F3" s="653"/>
      <c r="G3" s="491"/>
      <c r="R3" s="672" t="s">
        <v>146</v>
      </c>
      <c r="S3" s="673"/>
      <c r="T3" s="673"/>
      <c r="U3" s="674"/>
    </row>
    <row r="4" spans="1:21" ht="21" customHeight="1" thickTop="1" thickBot="1">
      <c r="A4" s="492"/>
      <c r="B4" s="657" t="s">
        <v>88</v>
      </c>
      <c r="C4" s="658"/>
      <c r="D4" s="658"/>
      <c r="E4" s="658"/>
      <c r="F4" s="658"/>
      <c r="G4" s="493"/>
      <c r="I4" s="659"/>
      <c r="J4" s="660"/>
      <c r="K4" s="660"/>
      <c r="L4" s="661"/>
      <c r="R4" s="668" t="s">
        <v>147</v>
      </c>
      <c r="S4" s="669"/>
      <c r="T4" s="241">
        <v>43160</v>
      </c>
      <c r="U4" s="242">
        <v>43891</v>
      </c>
    </row>
    <row r="5" spans="1:21" ht="31.5" customHeight="1" thickTop="1" thickBot="1">
      <c r="A5" s="492"/>
      <c r="B5" s="503" t="s">
        <v>209</v>
      </c>
      <c r="C5" s="505" t="s">
        <v>610</v>
      </c>
      <c r="D5" s="645"/>
      <c r="E5" s="503" t="s">
        <v>0</v>
      </c>
      <c r="F5" s="508" t="s">
        <v>1007</v>
      </c>
      <c r="G5" s="494"/>
      <c r="I5" s="662"/>
      <c r="J5" s="663"/>
      <c r="K5" s="663"/>
      <c r="L5" s="664"/>
      <c r="R5" s="668" t="s">
        <v>148</v>
      </c>
      <c r="S5" s="669"/>
      <c r="T5" s="248">
        <v>500</v>
      </c>
      <c r="U5" s="249">
        <v>800</v>
      </c>
    </row>
    <row r="6" spans="1:21" ht="31.5" customHeight="1" thickTop="1" thickBot="1">
      <c r="A6" s="492"/>
      <c r="B6" s="503" t="s">
        <v>266</v>
      </c>
      <c r="C6" s="505" t="s">
        <v>655</v>
      </c>
      <c r="D6" s="646"/>
      <c r="E6" s="503" t="s">
        <v>260</v>
      </c>
      <c r="F6" s="513" t="s">
        <v>930</v>
      </c>
      <c r="G6" s="495"/>
      <c r="I6" s="662"/>
      <c r="J6" s="663"/>
      <c r="K6" s="663"/>
      <c r="L6" s="664"/>
      <c r="R6" s="668" t="s">
        <v>149</v>
      </c>
      <c r="S6" s="669"/>
      <c r="T6" s="248">
        <v>700</v>
      </c>
      <c r="U6" s="249">
        <v>1200</v>
      </c>
    </row>
    <row r="7" spans="1:21" ht="31.5" customHeight="1" thickTop="1" thickBot="1">
      <c r="A7" s="492"/>
      <c r="B7" s="503" t="s">
        <v>456</v>
      </c>
      <c r="C7" s="505" t="s">
        <v>443</v>
      </c>
      <c r="D7" s="646"/>
      <c r="E7" s="503" t="s">
        <v>459</v>
      </c>
      <c r="F7" s="532" t="s">
        <v>137</v>
      </c>
      <c r="G7" s="496"/>
      <c r="I7" s="662"/>
      <c r="J7" s="663"/>
      <c r="K7" s="663"/>
      <c r="L7" s="664"/>
      <c r="R7" s="668" t="s">
        <v>150</v>
      </c>
      <c r="S7" s="669"/>
      <c r="T7" s="248">
        <v>1300</v>
      </c>
      <c r="U7" s="249">
        <v>2200</v>
      </c>
    </row>
    <row r="8" spans="1:21" ht="31.5" customHeight="1" thickTop="1" thickBot="1">
      <c r="A8" s="492"/>
      <c r="B8" s="503" t="s">
        <v>222</v>
      </c>
      <c r="C8" s="505"/>
      <c r="D8" s="646"/>
      <c r="E8" s="503" t="s">
        <v>466</v>
      </c>
      <c r="F8" s="506"/>
      <c r="G8" s="497"/>
      <c r="I8" s="665"/>
      <c r="J8" s="666"/>
      <c r="K8" s="666"/>
      <c r="L8" s="667"/>
      <c r="R8" s="668" t="s">
        <v>151</v>
      </c>
      <c r="S8" s="669"/>
      <c r="T8" s="248">
        <v>1800</v>
      </c>
      <c r="U8" s="249">
        <v>3000</v>
      </c>
    </row>
    <row r="9" spans="1:21" ht="31.5" customHeight="1" thickTop="1" thickBot="1">
      <c r="A9" s="492"/>
      <c r="B9" s="504" t="s">
        <v>7</v>
      </c>
      <c r="C9" s="510" t="s">
        <v>1008</v>
      </c>
      <c r="D9" s="646"/>
      <c r="E9" s="511" t="s">
        <v>873</v>
      </c>
      <c r="F9" s="505" t="s">
        <v>610</v>
      </c>
      <c r="G9" s="498"/>
      <c r="R9" s="668" t="s">
        <v>152</v>
      </c>
      <c r="S9" s="669"/>
      <c r="T9" s="248">
        <v>3000</v>
      </c>
      <c r="U9" s="249">
        <v>5000</v>
      </c>
    </row>
    <row r="10" spans="1:21" ht="31.5" customHeight="1" thickTop="1" thickBot="1">
      <c r="A10" s="492"/>
      <c r="B10" s="503" t="s">
        <v>87</v>
      </c>
      <c r="C10" s="505"/>
      <c r="D10" s="646"/>
      <c r="E10" s="511" t="s">
        <v>874</v>
      </c>
      <c r="F10" s="505"/>
      <c r="G10" s="498"/>
      <c r="R10" s="558"/>
      <c r="S10" s="559"/>
      <c r="T10" s="253"/>
      <c r="U10" s="254"/>
    </row>
    <row r="11" spans="1:21" ht="41.55" customHeight="1" thickTop="1" thickBot="1">
      <c r="A11" s="499"/>
      <c r="B11" s="507" t="s">
        <v>921</v>
      </c>
      <c r="C11" s="512" t="s">
        <v>658</v>
      </c>
      <c r="D11" s="646"/>
      <c r="E11" s="511" t="s">
        <v>89</v>
      </c>
      <c r="F11" s="505"/>
      <c r="G11" s="500"/>
      <c r="R11" s="670" t="s">
        <v>153</v>
      </c>
      <c r="S11" s="671"/>
      <c r="T11" s="253">
        <v>4000</v>
      </c>
      <c r="U11" s="254">
        <v>7000</v>
      </c>
    </row>
    <row r="12" spans="1:21" ht="37.049999999999997" customHeight="1" thickTop="1" thickBot="1">
      <c r="A12" s="499"/>
      <c r="B12" s="507" t="s">
        <v>920</v>
      </c>
      <c r="C12" s="512" t="s">
        <v>658</v>
      </c>
      <c r="D12" s="647"/>
      <c r="E12" s="511" t="s">
        <v>90</v>
      </c>
      <c r="F12" s="509" t="s">
        <v>930</v>
      </c>
      <c r="G12" s="500"/>
      <c r="R12" s="484"/>
      <c r="S12" s="484"/>
      <c r="T12" s="485"/>
      <c r="U12" s="485"/>
    </row>
    <row r="13" spans="1:21" ht="37.049999999999997" customHeight="1" thickTop="1" thickBot="1">
      <c r="A13" s="499"/>
      <c r="B13" s="507" t="s">
        <v>914</v>
      </c>
      <c r="C13" s="512" t="s">
        <v>658</v>
      </c>
      <c r="D13" s="600"/>
      <c r="E13" s="507" t="s">
        <v>915</v>
      </c>
      <c r="F13" s="512" t="s">
        <v>476</v>
      </c>
      <c r="G13" s="500"/>
      <c r="R13" s="484"/>
      <c r="S13" s="484"/>
      <c r="T13" s="485"/>
      <c r="U13" s="485"/>
    </row>
    <row r="14" spans="1:21" ht="15.6" thickTop="1" thickBot="1">
      <c r="A14" s="501"/>
      <c r="B14" s="654"/>
      <c r="C14" s="655"/>
      <c r="D14" s="655"/>
      <c r="E14" s="655"/>
      <c r="F14" s="656"/>
      <c r="G14" s="502"/>
    </row>
    <row r="15" spans="1:21" ht="40.5" customHeight="1" thickBot="1">
      <c r="B15" s="644" t="s">
        <v>621</v>
      </c>
      <c r="C15" s="644"/>
      <c r="D15" s="644"/>
      <c r="E15" s="644"/>
      <c r="F15" s="644"/>
    </row>
    <row r="16" spans="1:21" ht="15" thickTop="1"/>
  </sheetData>
  <sheetProtection algorithmName="SHA-512" hashValue="HaNFnVKjIummoXLqwZHXOysuwv8v5Zk2VSXpcJpvTOeu8ubdOnNOMmoUzHYvQWP0kAzhDs/Cv2McwMGDLO8yVg==" saltValue="XmeBaJycs5fa5dghYXZq+w==" spinCount="100000" sheet="1" objects="1" scenarios="1" formatColumns="0" formatRows="0" selectLockedCells="1"/>
  <customSheetViews>
    <customSheetView guid="{1E5138D0-1BD0-4D7E-A5B4-E19521ADA196}" showGridLines="0" hiddenColumns="1">
      <selection activeCell="Q8" sqref="Q8:U8"/>
      <pageMargins left="0.7" right="0.7" top="0.75" bottom="0.75" header="0.3" footer="0.3"/>
      <pageSetup paperSize="9" orientation="portrait" r:id="rId1"/>
    </customSheetView>
  </customSheetViews>
  <mergeCells count="14">
    <mergeCell ref="I4:L8"/>
    <mergeCell ref="R8:S8"/>
    <mergeCell ref="R9:S9"/>
    <mergeCell ref="R11:S11"/>
    <mergeCell ref="R3:U3"/>
    <mergeCell ref="R4:S4"/>
    <mergeCell ref="R5:S5"/>
    <mergeCell ref="R6:S6"/>
    <mergeCell ref="R7:S7"/>
    <mergeCell ref="B15:F15"/>
    <mergeCell ref="D5:D12"/>
    <mergeCell ref="B2:F3"/>
    <mergeCell ref="B14:F14"/>
    <mergeCell ref="B4:F4"/>
  </mergeCells>
  <dataValidations xWindow="265" yWindow="535" count="4">
    <dataValidation type="list" allowBlank="1" showInputMessage="1" showErrorMessage="1" sqref="C11:C13" xr:uid="{00000000-0002-0000-0100-000000000000}">
      <formula1>"Yes,No"</formula1>
    </dataValidation>
    <dataValidation type="list" allowBlank="1" showInputMessage="1" showErrorMessage="1" sqref="C7" xr:uid="{00000000-0002-0000-0100-000001000000}">
      <formula1>Cader</formula1>
    </dataValidation>
    <dataValidation type="list" allowBlank="1" showInputMessage="1" showErrorMessage="1" sqref="F7" xr:uid="{00000000-0002-0000-0100-000002000000}">
      <formula1>Pay_Leval</formula1>
    </dataValidation>
    <dataValidation type="list" allowBlank="1" showInputMessage="1" showErrorMessage="1" sqref="F13" xr:uid="{00000000-0002-0000-0100-000003000000}">
      <formula1>"YES,NO"</formula1>
    </dataValidation>
  </dataValidation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82" r:id="rId5" name="Group Box 34">
              <controlPr defaultSize="0" autoFill="0" autoPict="0">
                <anchor moveWithCells="1">
                  <from>
                    <xdr:col>8</xdr:col>
                    <xdr:colOff>106680</xdr:colOff>
                    <xdr:row>3</xdr:row>
                    <xdr:rowOff>83820</xdr:rowOff>
                  </from>
                  <to>
                    <xdr:col>11</xdr:col>
                    <xdr:colOff>655320</xdr:colOff>
                    <xdr:row>7</xdr:row>
                    <xdr:rowOff>0</xdr:rowOff>
                  </to>
                </anchor>
              </controlPr>
            </control>
          </mc:Choice>
        </mc:AlternateContent>
        <mc:AlternateContent xmlns:mc="http://schemas.openxmlformats.org/markup-compatibility/2006">
          <mc:Choice Requires="x14">
            <control shapeId="2083" r:id="rId6" name="Option Button 35">
              <controlPr defaultSize="0" autoFill="0" autoLine="0" autoPict="0" altText="Indivisual(&lt; 60 Yrs)">
                <anchor moveWithCells="1">
                  <from>
                    <xdr:col>8</xdr:col>
                    <xdr:colOff>495300</xdr:colOff>
                    <xdr:row>4</xdr:row>
                    <xdr:rowOff>83820</xdr:rowOff>
                  </from>
                  <to>
                    <xdr:col>11</xdr:col>
                    <xdr:colOff>297180</xdr:colOff>
                    <xdr:row>4</xdr:row>
                    <xdr:rowOff>365760</xdr:rowOff>
                  </to>
                </anchor>
              </controlPr>
            </control>
          </mc:Choice>
        </mc:AlternateContent>
        <mc:AlternateContent xmlns:mc="http://schemas.openxmlformats.org/markup-compatibility/2006">
          <mc:Choice Requires="x14">
            <control shapeId="2084" r:id="rId7" name="Option Button 36">
              <controlPr defaultSize="0" autoFill="0" autoLine="0" autoPict="0">
                <anchor moveWithCells="1">
                  <from>
                    <xdr:col>8</xdr:col>
                    <xdr:colOff>297180</xdr:colOff>
                    <xdr:row>4</xdr:row>
                    <xdr:rowOff>449580</xdr:rowOff>
                  </from>
                  <to>
                    <xdr:col>11</xdr:col>
                    <xdr:colOff>495300</xdr:colOff>
                    <xdr:row>5</xdr:row>
                    <xdr:rowOff>259080</xdr:rowOff>
                  </to>
                </anchor>
              </controlPr>
            </control>
          </mc:Choice>
        </mc:AlternateContent>
        <mc:AlternateContent xmlns:mc="http://schemas.openxmlformats.org/markup-compatibility/2006">
          <mc:Choice Requires="x14">
            <control shapeId="2087" r:id="rId8" name="Option Button 39">
              <controlPr defaultSize="0" autoFill="0" autoLine="0" autoPict="0">
                <anchor moveWithCells="1">
                  <from>
                    <xdr:col>8</xdr:col>
                    <xdr:colOff>198120</xdr:colOff>
                    <xdr:row>5</xdr:row>
                    <xdr:rowOff>426720</xdr:rowOff>
                  </from>
                  <to>
                    <xdr:col>11</xdr:col>
                    <xdr:colOff>594360</xdr:colOff>
                    <xdr:row>6</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sheetPr>
  <dimension ref="A1:XFC29"/>
  <sheetViews>
    <sheetView showGridLines="0" workbookViewId="0">
      <selection activeCell="F5" sqref="F5:G5"/>
    </sheetView>
  </sheetViews>
  <sheetFormatPr defaultColWidth="0" defaultRowHeight="14.4" zeroHeight="1"/>
  <cols>
    <col min="1" max="1" width="3.77734375" customWidth="1"/>
    <col min="2" max="2" width="2.21875" customWidth="1"/>
    <col min="3" max="3" width="12.77734375" customWidth="1"/>
    <col min="4" max="4" width="12" customWidth="1"/>
    <col min="5" max="5" width="12.77734375" customWidth="1"/>
    <col min="6" max="6" width="10.77734375" customWidth="1"/>
    <col min="7" max="7" width="10" customWidth="1"/>
    <col min="8" max="8" width="12.21875" customWidth="1"/>
    <col min="9" max="9" width="13.77734375" customWidth="1"/>
    <col min="10" max="10" width="10.5546875" customWidth="1"/>
    <col min="11" max="11" width="3.77734375" customWidth="1"/>
    <col min="12" max="12" width="10.21875" customWidth="1"/>
    <col min="13" max="13" width="13" customWidth="1"/>
    <col min="14" max="14" width="10.77734375" customWidth="1"/>
    <col min="15" max="15" width="1.77734375" customWidth="1"/>
    <col min="16" max="16" width="3.44140625" customWidth="1"/>
    <col min="17" max="17" width="8.77734375" hidden="1" customWidth="1"/>
    <col min="18" max="27" width="0" hidden="1" customWidth="1"/>
    <col min="28" max="16383" width="8.77734375" hidden="1"/>
    <col min="16384" max="16384" width="0.21875" hidden="1" customWidth="1"/>
  </cols>
  <sheetData>
    <row r="1" spans="1:27">
      <c r="A1" s="449"/>
      <c r="B1" s="449"/>
      <c r="C1" s="449"/>
      <c r="D1" s="449"/>
      <c r="E1" s="449"/>
      <c r="F1" s="449"/>
      <c r="G1" s="449"/>
      <c r="H1" s="449"/>
      <c r="I1" s="449"/>
      <c r="J1" s="449"/>
      <c r="K1" s="449"/>
      <c r="L1" s="449"/>
      <c r="M1" s="449"/>
      <c r="N1" s="449"/>
      <c r="O1" s="449"/>
      <c r="P1" s="449"/>
    </row>
    <row r="2" spans="1:27">
      <c r="A2" s="449"/>
      <c r="P2" s="449"/>
      <c r="W2">
        <v>1</v>
      </c>
    </row>
    <row r="3" spans="1:27" ht="24.6">
      <c r="A3" s="449"/>
      <c r="E3" s="1437" t="s">
        <v>628</v>
      </c>
      <c r="F3" s="1437"/>
      <c r="G3" s="1437"/>
      <c r="H3" s="1437"/>
      <c r="I3" s="1437"/>
      <c r="J3" s="1437"/>
      <c r="K3" s="1437"/>
      <c r="L3" s="1437"/>
      <c r="P3" s="449"/>
      <c r="W3" s="451">
        <v>2</v>
      </c>
    </row>
    <row r="4" spans="1:27" ht="15" thickBot="1">
      <c r="A4" s="449"/>
      <c r="P4" s="449"/>
      <c r="W4">
        <v>3</v>
      </c>
    </row>
    <row r="5" spans="1:27" ht="30.6" customHeight="1" thickTop="1" thickBot="1">
      <c r="A5" s="449"/>
      <c r="C5" s="709" t="s">
        <v>985</v>
      </c>
      <c r="D5" s="710"/>
      <c r="E5" s="711"/>
      <c r="F5" s="712"/>
      <c r="G5" s="713"/>
      <c r="I5" s="714" t="s">
        <v>1009</v>
      </c>
      <c r="J5" s="715"/>
      <c r="K5" s="715"/>
      <c r="L5" s="715"/>
      <c r="M5" s="716"/>
      <c r="P5" s="449"/>
      <c r="W5">
        <v>4</v>
      </c>
    </row>
    <row r="6" spans="1:27" s="451" customFormat="1" ht="29.1" customHeight="1" thickTop="1" thickBot="1">
      <c r="A6" s="450"/>
      <c r="B6"/>
      <c r="C6" s="702" t="s">
        <v>633</v>
      </c>
      <c r="D6" s="703"/>
      <c r="E6" s="703"/>
      <c r="F6" s="703"/>
      <c r="G6" s="704"/>
      <c r="I6" s="514" t="s">
        <v>622</v>
      </c>
      <c r="J6" s="717"/>
      <c r="K6" s="717"/>
      <c r="L6" s="514" t="s">
        <v>623</v>
      </c>
      <c r="M6" s="448">
        <v>89900</v>
      </c>
      <c r="P6" s="449"/>
      <c r="W6">
        <v>5</v>
      </c>
    </row>
    <row r="7" spans="1:27" ht="15" customHeight="1" thickTop="1" thickBot="1">
      <c r="A7" s="449"/>
      <c r="F7" s="452"/>
      <c r="P7" s="449"/>
      <c r="W7">
        <v>6</v>
      </c>
    </row>
    <row r="8" spans="1:27" ht="51" customHeight="1" thickTop="1" thickBot="1">
      <c r="A8" s="449"/>
      <c r="C8" s="697" t="s">
        <v>1010</v>
      </c>
      <c r="D8" s="698"/>
      <c r="E8" s="699"/>
      <c r="G8" s="705" t="s">
        <v>646</v>
      </c>
      <c r="H8" s="706"/>
      <c r="I8" s="707"/>
      <c r="J8" s="695"/>
      <c r="K8" s="696"/>
      <c r="L8" s="697" t="s">
        <v>624</v>
      </c>
      <c r="M8" s="698"/>
      <c r="N8" s="699"/>
      <c r="P8" s="449"/>
      <c r="W8">
        <v>7</v>
      </c>
    </row>
    <row r="9" spans="1:27" ht="34.049999999999997" customHeight="1" thickTop="1" thickBot="1">
      <c r="A9" s="449"/>
      <c r="C9" s="392" t="s">
        <v>656</v>
      </c>
      <c r="D9" s="515" t="s">
        <v>634</v>
      </c>
      <c r="E9" s="457">
        <v>0.2</v>
      </c>
      <c r="G9" s="391" t="s">
        <v>194</v>
      </c>
      <c r="H9" s="514" t="s">
        <v>617</v>
      </c>
      <c r="I9" s="390">
        <v>10</v>
      </c>
      <c r="J9" s="695"/>
      <c r="K9" s="696"/>
      <c r="L9" s="392" t="s">
        <v>658</v>
      </c>
      <c r="M9" s="514" t="s">
        <v>617</v>
      </c>
      <c r="N9" s="390">
        <v>12</v>
      </c>
      <c r="O9" s="454"/>
      <c r="P9" s="449"/>
      <c r="W9">
        <v>8</v>
      </c>
    </row>
    <row r="10" spans="1:27" ht="17.100000000000001" customHeight="1" thickTop="1" thickBot="1">
      <c r="A10" s="449"/>
      <c r="C10" s="453"/>
      <c r="E10" s="453"/>
      <c r="H10" s="483"/>
      <c r="L10" s="453"/>
      <c r="M10" s="453"/>
      <c r="N10" s="453"/>
      <c r="P10" s="449"/>
      <c r="W10">
        <v>9</v>
      </c>
    </row>
    <row r="11" spans="1:27" ht="41.1" customHeight="1" thickTop="1" thickBot="1">
      <c r="A11" s="449"/>
      <c r="C11" s="684" t="s">
        <v>626</v>
      </c>
      <c r="D11" s="685"/>
      <c r="E11" s="685"/>
      <c r="F11" s="685"/>
      <c r="H11" s="519" t="s">
        <v>482</v>
      </c>
      <c r="I11" s="519" t="s">
        <v>203</v>
      </c>
      <c r="J11" s="519" t="s">
        <v>204</v>
      </c>
      <c r="L11" s="684" t="s">
        <v>603</v>
      </c>
      <c r="M11" s="685"/>
      <c r="N11" s="686"/>
      <c r="P11" s="449"/>
      <c r="W11">
        <v>10</v>
      </c>
    </row>
    <row r="12" spans="1:27" ht="31.05" customHeight="1" thickTop="1" thickBot="1">
      <c r="A12" s="449"/>
      <c r="C12" s="392" t="s">
        <v>635</v>
      </c>
      <c r="D12" s="514" t="s">
        <v>625</v>
      </c>
      <c r="E12" s="708" t="s">
        <v>95</v>
      </c>
      <c r="F12" s="708"/>
      <c r="H12" s="482"/>
      <c r="I12" s="482"/>
      <c r="J12" s="482"/>
      <c r="L12" s="692" t="s">
        <v>194</v>
      </c>
      <c r="M12" s="693"/>
      <c r="N12" s="694"/>
      <c r="P12" s="449"/>
      <c r="W12">
        <v>11</v>
      </c>
    </row>
    <row r="13" spans="1:27" ht="13.5" customHeight="1" thickTop="1" thickBot="1">
      <c r="A13" s="449"/>
      <c r="L13" s="687" t="s">
        <v>601</v>
      </c>
      <c r="M13" s="688"/>
      <c r="N13" s="689"/>
      <c r="P13" s="449"/>
      <c r="W13">
        <v>12</v>
      </c>
      <c r="Y13" s="15" t="s">
        <v>233</v>
      </c>
      <c r="Z13" s="15" t="s">
        <v>231</v>
      </c>
      <c r="AA13" s="14" t="s">
        <v>232</v>
      </c>
    </row>
    <row r="14" spans="1:27" ht="22.05" customHeight="1" thickTop="1" thickBot="1">
      <c r="A14" s="449"/>
      <c r="C14" s="675" t="s">
        <v>880</v>
      </c>
      <c r="D14" s="676"/>
      <c r="E14" s="676"/>
      <c r="F14" s="676"/>
      <c r="G14" s="676"/>
      <c r="H14" s="677"/>
      <c r="I14" s="678"/>
      <c r="J14" s="679"/>
      <c r="L14" s="690" t="s">
        <v>192</v>
      </c>
      <c r="M14" s="691"/>
      <c r="N14" s="460" t="s">
        <v>195</v>
      </c>
      <c r="P14" s="449"/>
      <c r="Y14" s="14" t="s">
        <v>91</v>
      </c>
      <c r="Z14" s="14">
        <v>1000</v>
      </c>
      <c r="AA14" s="14">
        <v>620</v>
      </c>
    </row>
    <row r="15" spans="1:27" ht="19.5" customHeight="1" thickTop="1" thickBot="1">
      <c r="A15" s="449"/>
      <c r="C15" s="675" t="s">
        <v>881</v>
      </c>
      <c r="D15" s="676"/>
      <c r="E15" s="676"/>
      <c r="F15" s="676"/>
      <c r="G15" s="676"/>
      <c r="H15" s="677"/>
      <c r="I15" s="678"/>
      <c r="J15" s="679"/>
      <c r="L15" s="682">
        <v>45352</v>
      </c>
      <c r="M15" s="683"/>
      <c r="N15" s="459" t="s">
        <v>476</v>
      </c>
      <c r="P15" s="449"/>
      <c r="Y15" s="14" t="s">
        <v>92</v>
      </c>
      <c r="Z15" s="14">
        <v>620</v>
      </c>
      <c r="AA15" s="14">
        <v>320</v>
      </c>
    </row>
    <row r="16" spans="1:27" s="360" customFormat="1" ht="19.5" customHeight="1" thickTop="1" thickBot="1">
      <c r="A16" s="458"/>
      <c r="L16" s="682">
        <v>45383</v>
      </c>
      <c r="M16" s="683"/>
      <c r="N16" s="459" t="s">
        <v>476</v>
      </c>
      <c r="P16" s="458"/>
      <c r="Y16" s="347" t="s">
        <v>94</v>
      </c>
      <c r="Z16" s="347">
        <v>620</v>
      </c>
      <c r="AA16" s="347">
        <v>320</v>
      </c>
    </row>
    <row r="17" spans="1:27" ht="24" customHeight="1" thickTop="1" thickBot="1">
      <c r="A17" s="449"/>
      <c r="C17" s="680" t="s">
        <v>206</v>
      </c>
      <c r="D17" s="681"/>
      <c r="E17" s="681"/>
      <c r="F17" s="681"/>
      <c r="G17" s="681"/>
      <c r="H17" s="681"/>
      <c r="L17" s="682">
        <v>45413</v>
      </c>
      <c r="M17" s="683"/>
      <c r="N17" s="459" t="s">
        <v>476</v>
      </c>
      <c r="P17" s="449"/>
      <c r="Y17" s="14" t="s">
        <v>93</v>
      </c>
      <c r="Z17" s="14">
        <v>620</v>
      </c>
      <c r="AA17" s="14">
        <v>320</v>
      </c>
    </row>
    <row r="18" spans="1:27" ht="19.5" customHeight="1" thickTop="1" thickBot="1">
      <c r="A18" s="449"/>
      <c r="C18" s="702" t="s">
        <v>201</v>
      </c>
      <c r="D18" s="703"/>
      <c r="E18" s="704"/>
      <c r="F18" s="702" t="s">
        <v>202</v>
      </c>
      <c r="G18" s="703"/>
      <c r="H18" s="704"/>
      <c r="L18" s="682">
        <v>45444</v>
      </c>
      <c r="M18" s="683"/>
      <c r="N18" s="459" t="s">
        <v>476</v>
      </c>
      <c r="P18" s="449"/>
      <c r="Y18" s="14" t="s">
        <v>95</v>
      </c>
      <c r="Z18" s="14">
        <v>620</v>
      </c>
      <c r="AA18" s="14">
        <v>320</v>
      </c>
    </row>
    <row r="19" spans="1:27" ht="19.5" customHeight="1" thickTop="1" thickBot="1">
      <c r="A19" s="449"/>
      <c r="C19" s="515" t="s">
        <v>182</v>
      </c>
      <c r="D19" s="516" t="s">
        <v>208</v>
      </c>
      <c r="E19" s="516" t="s">
        <v>627</v>
      </c>
      <c r="F19" s="516" t="s">
        <v>182</v>
      </c>
      <c r="G19" s="516" t="s">
        <v>208</v>
      </c>
      <c r="H19" s="516" t="s">
        <v>627</v>
      </c>
      <c r="L19" s="682">
        <v>45474</v>
      </c>
      <c r="M19" s="683"/>
      <c r="N19" s="459" t="s">
        <v>476</v>
      </c>
      <c r="P19" s="449"/>
    </row>
    <row r="20" spans="1:27" ht="25.05" customHeight="1" thickTop="1" thickBot="1">
      <c r="A20" s="449"/>
      <c r="C20" s="455">
        <v>794000</v>
      </c>
      <c r="D20" s="456">
        <v>9447</v>
      </c>
      <c r="E20" s="456"/>
      <c r="F20" s="455"/>
      <c r="G20" s="456"/>
      <c r="H20" s="456"/>
      <c r="L20" s="682">
        <v>45505</v>
      </c>
      <c r="M20" s="683"/>
      <c r="N20" s="459" t="s">
        <v>476</v>
      </c>
      <c r="P20" s="449"/>
    </row>
    <row r="21" spans="1:27" ht="24" customHeight="1" thickTop="1" thickBot="1">
      <c r="A21" s="449"/>
      <c r="L21" s="682">
        <v>45536</v>
      </c>
      <c r="M21" s="683"/>
      <c r="N21" s="459" t="s">
        <v>476</v>
      </c>
      <c r="P21" s="449"/>
    </row>
    <row r="22" spans="1:27" ht="19.5" customHeight="1" thickTop="1" thickBot="1">
      <c r="A22" s="449"/>
      <c r="C22" s="700" t="s">
        <v>611</v>
      </c>
      <c r="D22" s="701"/>
      <c r="E22" s="701"/>
      <c r="F22" s="701"/>
      <c r="G22" s="701"/>
      <c r="H22" s="701"/>
      <c r="L22" s="682">
        <v>45566</v>
      </c>
      <c r="M22" s="683"/>
      <c r="N22" s="459" t="s">
        <v>476</v>
      </c>
      <c r="P22" s="449"/>
    </row>
    <row r="23" spans="1:27" ht="19.5" customHeight="1" thickTop="1" thickBot="1">
      <c r="A23" s="449"/>
      <c r="L23" s="682">
        <v>45597</v>
      </c>
      <c r="M23" s="683"/>
      <c r="N23" s="459" t="s">
        <v>476</v>
      </c>
      <c r="P23" s="449"/>
    </row>
    <row r="24" spans="1:27" ht="19.5" customHeight="1" thickTop="1" thickBot="1">
      <c r="A24" s="449"/>
      <c r="C24" s="700" t="s">
        <v>918</v>
      </c>
      <c r="D24" s="701"/>
      <c r="E24" s="701"/>
      <c r="F24" s="701"/>
      <c r="G24" s="701"/>
      <c r="H24" s="701"/>
      <c r="L24" s="682">
        <v>45627</v>
      </c>
      <c r="M24" s="683"/>
      <c r="N24" s="459" t="s">
        <v>476</v>
      </c>
      <c r="P24" s="449"/>
    </row>
    <row r="25" spans="1:27" ht="26.1" customHeight="1" thickTop="1" thickBot="1">
      <c r="A25" s="449"/>
      <c r="L25" s="682">
        <v>45658</v>
      </c>
      <c r="M25" s="683"/>
      <c r="N25" s="459" t="s">
        <v>476</v>
      </c>
      <c r="P25" s="449"/>
    </row>
    <row r="26" spans="1:27" ht="19.5" customHeight="1" thickTop="1" thickBot="1">
      <c r="A26" s="449"/>
      <c r="L26" s="682">
        <v>45689</v>
      </c>
      <c r="M26" s="683"/>
      <c r="N26" s="459" t="s">
        <v>476</v>
      </c>
      <c r="P26" s="449"/>
    </row>
    <row r="27" spans="1:27" ht="15" thickTop="1">
      <c r="A27" s="449"/>
      <c r="P27" s="449"/>
    </row>
    <row r="28" spans="1:27">
      <c r="A28" s="449"/>
      <c r="B28" s="449"/>
      <c r="C28" s="449"/>
      <c r="D28" s="449"/>
      <c r="E28" s="449"/>
      <c r="F28" s="449"/>
      <c r="G28" s="449"/>
      <c r="H28" s="449"/>
      <c r="I28" s="449"/>
      <c r="J28" s="449"/>
      <c r="K28" s="449"/>
      <c r="L28" s="449"/>
      <c r="M28" s="449"/>
      <c r="N28" s="449"/>
      <c r="O28" s="449"/>
      <c r="P28" s="449"/>
    </row>
    <row r="29" spans="1:27"/>
  </sheetData>
  <sheetProtection algorithmName="SHA-512" hashValue="Hl/tUWZRlMgS6yNeiUhLeinGikSSE2zIsIyTiMPWTLSNVLclZvecgCf5X6rbP2VWd6d1SMG1XPLg6bCD5MvR5g==" saltValue="IF+WEkEdAxdGpI0U0xYNxQ==" spinCount="100000" sheet="1" formatColumns="0" formatRows="0" selectLockedCells="1"/>
  <mergeCells count="38">
    <mergeCell ref="C24:H24"/>
    <mergeCell ref="L25:M25"/>
    <mergeCell ref="L26:M26"/>
    <mergeCell ref="C6:G6"/>
    <mergeCell ref="E3:L3"/>
    <mergeCell ref="C22:H22"/>
    <mergeCell ref="C18:E18"/>
    <mergeCell ref="F18:H18"/>
    <mergeCell ref="G8:I8"/>
    <mergeCell ref="E12:F12"/>
    <mergeCell ref="C5:E5"/>
    <mergeCell ref="F5:G5"/>
    <mergeCell ref="C8:E8"/>
    <mergeCell ref="I5:M5"/>
    <mergeCell ref="C11:F11"/>
    <mergeCell ref="J6:K6"/>
    <mergeCell ref="J8:K8"/>
    <mergeCell ref="J9:K9"/>
    <mergeCell ref="L22:M22"/>
    <mergeCell ref="L23:M23"/>
    <mergeCell ref="L8:N8"/>
    <mergeCell ref="L15:M15"/>
    <mergeCell ref="L24:M24"/>
    <mergeCell ref="L21:M21"/>
    <mergeCell ref="L11:N11"/>
    <mergeCell ref="L13:N13"/>
    <mergeCell ref="L16:M16"/>
    <mergeCell ref="L17:M17"/>
    <mergeCell ref="L18:M18"/>
    <mergeCell ref="L19:M19"/>
    <mergeCell ref="L20:M20"/>
    <mergeCell ref="L14:M14"/>
    <mergeCell ref="L12:N12"/>
    <mergeCell ref="C14:H14"/>
    <mergeCell ref="C15:H15"/>
    <mergeCell ref="I14:J14"/>
    <mergeCell ref="I15:J15"/>
    <mergeCell ref="C17:H17"/>
  </mergeCells>
  <conditionalFormatting sqref="N15:N26">
    <cfRule type="containsText" dxfId="9" priority="14" operator="containsText" text="no">
      <formula>NOT(ISERROR(SEARCH("no",N15)))</formula>
    </cfRule>
  </conditionalFormatting>
  <conditionalFormatting sqref="L12">
    <cfRule type="containsText" dxfId="8" priority="13" operator="containsText" text="no">
      <formula>NOT(ISERROR(SEARCH("no",L12)))</formula>
    </cfRule>
  </conditionalFormatting>
  <conditionalFormatting sqref="N9">
    <cfRule type="expression" dxfId="7" priority="7">
      <formula>$L$9="No"</formula>
    </cfRule>
  </conditionalFormatting>
  <conditionalFormatting sqref="I9">
    <cfRule type="expression" dxfId="6" priority="6">
      <formula>$G$9="No"</formula>
    </cfRule>
  </conditionalFormatting>
  <conditionalFormatting sqref="E9">
    <cfRule type="expression" dxfId="5" priority="1">
      <formula>$C$12="No"</formula>
    </cfRule>
    <cfRule type="expression" dxfId="4" priority="4" stopIfTrue="1">
      <formula>$C$9="No"</formula>
    </cfRule>
  </conditionalFormatting>
  <conditionalFormatting sqref="M6">
    <cfRule type="expression" dxfId="3" priority="3">
      <formula>$J$6=""</formula>
    </cfRule>
  </conditionalFormatting>
  <conditionalFormatting sqref="E12:F12">
    <cfRule type="expression" dxfId="2" priority="2">
      <formula>$C$12="No"</formula>
    </cfRule>
  </conditionalFormatting>
  <dataValidations count="8">
    <dataValidation type="list" allowBlank="1" showErrorMessage="1" sqref="J6" xr:uid="{00000000-0002-0000-0200-000000000000}">
      <formula1>series_1_12</formula1>
    </dataValidation>
    <dataValidation type="list" allowBlank="1" showInputMessage="1" showErrorMessage="1" sqref="C9 C12" xr:uid="{00000000-0002-0000-0200-000001000000}">
      <formula1>"Yes,No "</formula1>
    </dataValidation>
    <dataValidation type="list" allowBlank="1" showInputMessage="1" showErrorMessage="1" sqref="E9" xr:uid="{00000000-0002-0000-0200-000002000000}">
      <formula1>"10%,20%"</formula1>
    </dataValidation>
    <dataValidation type="list" allowBlank="1" showInputMessage="1" showErrorMessage="1" sqref="G9 N15:N26 L12" xr:uid="{00000000-0002-0000-0200-000003000000}">
      <formula1>"YES,NO"</formula1>
    </dataValidation>
    <dataValidation type="list" allowBlank="1" showInputMessage="1" showErrorMessage="1" sqref="I9" xr:uid="{00000000-0002-0000-0200-000004000000}">
      <formula1>series_1_12</formula1>
    </dataValidation>
    <dataValidation type="list" allowBlank="1" showInputMessage="1" showErrorMessage="1" sqref="L9" xr:uid="{00000000-0002-0000-0200-000005000000}">
      <formula1>"Yes,No"</formula1>
    </dataValidation>
    <dataValidation type="list" allowBlank="1" showInputMessage="1" showErrorMessage="1" sqref="E12" xr:uid="{00000000-0002-0000-0200-000006000000}">
      <formula1>$Y$14:$Y$18</formula1>
    </dataValidation>
    <dataValidation type="list" allowBlank="1" showInputMessage="1" showErrorMessage="1" sqref="N9" xr:uid="{2143AE26-F327-4CA9-B46A-F090A0CCA074}">
      <formula1>"6,7,8,9,10,11,12"</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U47"/>
  <sheetViews>
    <sheetView showGridLines="0" zoomScale="90" zoomScaleNormal="90" workbookViewId="0">
      <selection activeCell="E20" sqref="E20"/>
    </sheetView>
  </sheetViews>
  <sheetFormatPr defaultColWidth="0" defaultRowHeight="14.4"/>
  <cols>
    <col min="1" max="1" width="4.44140625" customWidth="1"/>
    <col min="2" max="2" width="19.5546875" customWidth="1"/>
    <col min="3" max="3" width="18.44140625" customWidth="1"/>
    <col min="4" max="4" width="17.77734375" customWidth="1"/>
    <col min="5" max="5" width="14.21875" customWidth="1"/>
    <col min="6" max="6" width="3.21875" customWidth="1"/>
    <col min="7" max="7" width="10.21875" customWidth="1"/>
    <col min="8" max="8" width="10.5546875" customWidth="1"/>
    <col min="9" max="9" width="10.77734375" customWidth="1"/>
    <col min="10" max="10" width="10.44140625" customWidth="1"/>
    <col min="11" max="11" width="11.21875" customWidth="1"/>
    <col min="12" max="12" width="9.5546875" customWidth="1"/>
    <col min="13" max="13" width="9.77734375" customWidth="1"/>
    <col min="14" max="14" width="8.77734375" customWidth="1"/>
    <col min="15" max="15" width="3.5546875" customWidth="1"/>
    <col min="16" max="20" width="8.77734375" customWidth="1"/>
    <col min="21" max="21" width="3.77734375" customWidth="1"/>
    <col min="22" max="16384" width="8.77734375" hidden="1"/>
  </cols>
  <sheetData>
    <row r="1" spans="1:21">
      <c r="A1" s="449"/>
      <c r="B1" s="449"/>
      <c r="C1" s="449"/>
      <c r="D1" s="449"/>
      <c r="E1" s="449"/>
      <c r="F1" s="449"/>
      <c r="G1" s="449"/>
      <c r="H1" s="449"/>
      <c r="I1" s="449"/>
      <c r="J1" s="449"/>
      <c r="K1" s="449"/>
      <c r="L1" s="449"/>
      <c r="M1" s="449"/>
      <c r="N1" s="449"/>
      <c r="O1" s="449"/>
      <c r="P1" s="449"/>
      <c r="Q1" s="449"/>
      <c r="R1" s="449"/>
      <c r="S1" s="449"/>
      <c r="T1" s="449"/>
      <c r="U1" s="449"/>
    </row>
    <row r="2" spans="1:21" ht="15" thickBot="1">
      <c r="A2" s="449"/>
      <c r="U2" s="449"/>
    </row>
    <row r="3" spans="1:21" ht="25.2" thickBot="1">
      <c r="A3" s="449"/>
      <c r="D3" s="732" t="s">
        <v>629</v>
      </c>
      <c r="E3" s="733"/>
      <c r="F3" s="733"/>
      <c r="G3" s="733"/>
      <c r="H3" s="733"/>
      <c r="I3" s="733"/>
      <c r="J3" s="733"/>
      <c r="K3" s="733"/>
      <c r="L3" s="733"/>
      <c r="M3" s="734"/>
      <c r="U3" s="449"/>
    </row>
    <row r="4" spans="1:21" ht="15" thickBot="1">
      <c r="A4" s="449"/>
      <c r="U4" s="449"/>
    </row>
    <row r="5" spans="1:21" ht="28.05" customHeight="1" thickTop="1" thickBot="1">
      <c r="A5" s="449"/>
      <c r="B5" s="738" t="s">
        <v>618</v>
      </c>
      <c r="C5" s="739"/>
      <c r="D5" s="739"/>
      <c r="E5" s="739"/>
      <c r="F5" s="739"/>
      <c r="G5" s="739"/>
      <c r="H5" s="739"/>
      <c r="I5" s="739"/>
      <c r="J5" s="739"/>
      <c r="K5" s="739"/>
      <c r="L5" s="739"/>
      <c r="M5" s="739"/>
      <c r="N5" s="739"/>
      <c r="O5" s="739"/>
      <c r="P5" s="739"/>
      <c r="Q5" s="739"/>
      <c r="R5" s="739"/>
      <c r="S5" s="739"/>
      <c r="T5" s="740"/>
      <c r="U5" s="449"/>
    </row>
    <row r="6" spans="1:21" ht="22.05" customHeight="1" thickTop="1" thickBot="1">
      <c r="A6" s="718" t="s">
        <v>645</v>
      </c>
      <c r="B6" s="741" t="s">
        <v>253</v>
      </c>
      <c r="C6" s="742"/>
      <c r="D6" s="743"/>
      <c r="E6" s="569">
        <v>0</v>
      </c>
      <c r="F6" s="746"/>
      <c r="G6" s="741" t="s">
        <v>891</v>
      </c>
      <c r="H6" s="742"/>
      <c r="I6" s="742"/>
      <c r="J6" s="742"/>
      <c r="K6" s="742"/>
      <c r="L6" s="742"/>
      <c r="M6" s="742"/>
      <c r="N6" s="742"/>
      <c r="O6" s="742"/>
      <c r="P6" s="743"/>
      <c r="Q6" s="744">
        <v>2100</v>
      </c>
      <c r="R6" s="745"/>
      <c r="S6" s="746"/>
      <c r="T6" s="746"/>
      <c r="U6" s="449"/>
    </row>
    <row r="7" spans="1:21" ht="22.05" customHeight="1" thickTop="1" thickBot="1">
      <c r="A7" s="718"/>
      <c r="B7" s="741" t="s">
        <v>240</v>
      </c>
      <c r="C7" s="742"/>
      <c r="D7" s="743"/>
      <c r="E7" s="569">
        <v>0</v>
      </c>
      <c r="F7" s="746"/>
      <c r="G7" s="741" t="s">
        <v>483</v>
      </c>
      <c r="H7" s="742"/>
      <c r="I7" s="742"/>
      <c r="J7" s="742"/>
      <c r="K7" s="742"/>
      <c r="L7" s="742"/>
      <c r="M7" s="742"/>
      <c r="N7" s="742"/>
      <c r="O7" s="742"/>
      <c r="P7" s="743"/>
      <c r="Q7" s="744">
        <v>469</v>
      </c>
      <c r="R7" s="745"/>
      <c r="S7" s="746"/>
      <c r="T7" s="746"/>
      <c r="U7" s="449"/>
    </row>
    <row r="8" spans="1:21" ht="22.05" customHeight="1" thickTop="1" thickBot="1">
      <c r="A8" s="718"/>
      <c r="B8" s="735" t="s">
        <v>647</v>
      </c>
      <c r="C8" s="736"/>
      <c r="D8" s="737"/>
      <c r="E8" s="569"/>
      <c r="F8" s="746"/>
      <c r="G8" s="727" t="s">
        <v>878</v>
      </c>
      <c r="H8" s="727"/>
      <c r="I8" s="727"/>
      <c r="J8" s="727"/>
      <c r="K8" s="727"/>
      <c r="L8" s="727"/>
      <c r="M8" s="727"/>
      <c r="N8" s="727"/>
      <c r="O8" s="727"/>
      <c r="P8" s="727"/>
      <c r="Q8" s="744">
        <v>0</v>
      </c>
      <c r="R8" s="745"/>
      <c r="S8" s="746"/>
      <c r="T8" s="746"/>
      <c r="U8" s="449"/>
    </row>
    <row r="9" spans="1:21" ht="22.05" customHeight="1" thickTop="1" thickBot="1">
      <c r="A9" s="449"/>
      <c r="B9" s="728" t="s">
        <v>241</v>
      </c>
      <c r="C9" s="728"/>
      <c r="D9" s="728"/>
      <c r="E9" s="569">
        <v>0</v>
      </c>
      <c r="F9" s="746"/>
      <c r="G9" s="728" t="s">
        <v>254</v>
      </c>
      <c r="H9" s="728"/>
      <c r="I9" s="728"/>
      <c r="J9" s="728"/>
      <c r="K9" s="728"/>
      <c r="L9" s="728"/>
      <c r="M9" s="728"/>
      <c r="N9" s="728"/>
      <c r="O9" s="728"/>
      <c r="P9" s="728"/>
      <c r="Q9" s="744">
        <v>0</v>
      </c>
      <c r="R9" s="745"/>
      <c r="S9" s="746"/>
      <c r="T9" s="746"/>
      <c r="U9" s="449"/>
    </row>
    <row r="10" spans="1:21" ht="22.05" customHeight="1" thickTop="1" thickBot="1">
      <c r="A10" s="449"/>
      <c r="B10" s="727" t="s">
        <v>242</v>
      </c>
      <c r="C10" s="727"/>
      <c r="D10" s="727"/>
      <c r="E10" s="569">
        <v>0</v>
      </c>
      <c r="F10" s="746"/>
      <c r="G10" s="783" t="s">
        <v>922</v>
      </c>
      <c r="H10" s="784"/>
      <c r="I10" s="784"/>
      <c r="J10" s="784"/>
      <c r="K10" s="784"/>
      <c r="L10" s="784"/>
      <c r="M10" s="784"/>
      <c r="N10" s="784"/>
      <c r="O10" s="784"/>
      <c r="P10" s="785"/>
      <c r="Q10" s="744"/>
      <c r="R10" s="745"/>
      <c r="S10" s="746"/>
      <c r="T10" s="746"/>
      <c r="U10" s="449"/>
    </row>
    <row r="11" spans="1:21" ht="31.5" customHeight="1" thickTop="1" thickBot="1">
      <c r="A11" s="449"/>
      <c r="B11" s="728" t="s">
        <v>244</v>
      </c>
      <c r="C11" s="728"/>
      <c r="D11" s="728"/>
      <c r="E11" s="569">
        <v>30000</v>
      </c>
      <c r="F11" s="746"/>
      <c r="G11" s="795" t="s">
        <v>896</v>
      </c>
      <c r="H11" s="796"/>
      <c r="I11" s="796"/>
      <c r="J11" s="796"/>
      <c r="K11" s="792"/>
      <c r="L11" s="793"/>
      <c r="M11" s="793"/>
      <c r="N11" s="793"/>
      <c r="O11" s="794"/>
      <c r="P11" s="572">
        <v>1</v>
      </c>
      <c r="Q11" s="726"/>
      <c r="R11" s="726"/>
      <c r="S11" s="746"/>
      <c r="T11" s="746"/>
      <c r="U11" s="449"/>
    </row>
    <row r="12" spans="1:21" ht="30.6" customHeight="1" thickTop="1" thickBot="1">
      <c r="A12" s="449"/>
      <c r="B12" s="727" t="s">
        <v>243</v>
      </c>
      <c r="C12" s="727"/>
      <c r="D12" s="727"/>
      <c r="E12" s="569">
        <v>29000</v>
      </c>
      <c r="F12" s="746"/>
      <c r="G12" s="767" t="s">
        <v>894</v>
      </c>
      <c r="H12" s="768"/>
      <c r="I12" s="768"/>
      <c r="J12" s="769"/>
      <c r="K12" s="777"/>
      <c r="L12" s="778"/>
      <c r="M12" s="778"/>
      <c r="N12" s="778"/>
      <c r="O12" s="779"/>
      <c r="P12" s="573">
        <v>5</v>
      </c>
      <c r="Q12" s="726"/>
      <c r="R12" s="726"/>
      <c r="S12" s="746"/>
      <c r="T12" s="746"/>
      <c r="U12" s="449">
        <v>3</v>
      </c>
    </row>
    <row r="13" spans="1:21" ht="31.5" customHeight="1" thickTop="1" thickBot="1">
      <c r="A13" s="449"/>
      <c r="B13" s="728" t="s">
        <v>245</v>
      </c>
      <c r="C13" s="728"/>
      <c r="D13" s="728"/>
      <c r="E13" s="569">
        <v>0</v>
      </c>
      <c r="F13" s="746"/>
      <c r="G13" s="797" t="s">
        <v>895</v>
      </c>
      <c r="H13" s="798"/>
      <c r="I13" s="798"/>
      <c r="J13" s="798"/>
      <c r="K13" s="780"/>
      <c r="L13" s="781"/>
      <c r="M13" s="781"/>
      <c r="N13" s="781"/>
      <c r="O13" s="782"/>
      <c r="P13" s="572">
        <v>1</v>
      </c>
      <c r="Q13" s="726"/>
      <c r="R13" s="726"/>
      <c r="S13" s="746"/>
      <c r="T13" s="746"/>
      <c r="U13" s="449"/>
    </row>
    <row r="14" spans="1:21" ht="22.05" customHeight="1" thickTop="1" thickBot="1">
      <c r="A14" s="449"/>
      <c r="B14" s="727" t="s">
        <v>246</v>
      </c>
      <c r="C14" s="727"/>
      <c r="D14" s="727"/>
      <c r="E14" s="569">
        <v>14000</v>
      </c>
      <c r="F14" s="770"/>
      <c r="G14" s="789" t="s">
        <v>255</v>
      </c>
      <c r="H14" s="790"/>
      <c r="I14" s="790"/>
      <c r="J14" s="790"/>
      <c r="K14" s="790"/>
      <c r="L14" s="790"/>
      <c r="M14" s="790"/>
      <c r="N14" s="790"/>
      <c r="O14" s="790"/>
      <c r="P14" s="791"/>
      <c r="Q14" s="786">
        <v>0</v>
      </c>
      <c r="R14" s="726"/>
      <c r="S14" s="746"/>
      <c r="T14" s="746"/>
      <c r="U14" s="449"/>
    </row>
    <row r="15" spans="1:21" ht="22.05" customHeight="1" thickTop="1" thickBot="1">
      <c r="A15" s="449"/>
      <c r="B15" s="728" t="s">
        <v>247</v>
      </c>
      <c r="C15" s="728"/>
      <c r="D15" s="728"/>
      <c r="E15" s="569">
        <v>0</v>
      </c>
      <c r="F15" s="746"/>
      <c r="G15" s="787" t="s">
        <v>256</v>
      </c>
      <c r="H15" s="787"/>
      <c r="I15" s="787"/>
      <c r="J15" s="570" t="s">
        <v>258</v>
      </c>
      <c r="K15" s="747"/>
      <c r="L15" s="747"/>
      <c r="M15" s="570" t="s">
        <v>259</v>
      </c>
      <c r="N15" s="747"/>
      <c r="O15" s="747"/>
      <c r="P15" s="571" t="s">
        <v>257</v>
      </c>
      <c r="Q15" s="788">
        <f>ROUND(N15*50%,0)+K15</f>
        <v>0</v>
      </c>
      <c r="R15" s="788"/>
      <c r="S15" s="746"/>
      <c r="T15" s="746"/>
      <c r="U15" s="449"/>
    </row>
    <row r="16" spans="1:21" ht="32.1" customHeight="1" thickTop="1" thickBot="1">
      <c r="A16" s="449"/>
      <c r="B16" s="727" t="s">
        <v>248</v>
      </c>
      <c r="C16" s="727"/>
      <c r="D16" s="727"/>
      <c r="E16" s="569">
        <v>0</v>
      </c>
      <c r="F16" s="746"/>
      <c r="G16" s="774" t="s">
        <v>897</v>
      </c>
      <c r="H16" s="775"/>
      <c r="I16" s="775"/>
      <c r="J16" s="776"/>
      <c r="K16" s="771"/>
      <c r="L16" s="772"/>
      <c r="M16" s="772"/>
      <c r="N16" s="772"/>
      <c r="O16" s="773"/>
      <c r="P16" s="574">
        <v>1</v>
      </c>
      <c r="Q16" s="726"/>
      <c r="R16" s="726"/>
      <c r="S16" s="746"/>
      <c r="T16" s="746"/>
      <c r="U16" s="449"/>
    </row>
    <row r="17" spans="1:21" ht="22.05" customHeight="1" thickTop="1" thickBot="1">
      <c r="A17" s="449"/>
      <c r="B17" s="728" t="s">
        <v>249</v>
      </c>
      <c r="C17" s="728"/>
      <c r="D17" s="728"/>
      <c r="E17" s="569">
        <v>50000</v>
      </c>
      <c r="F17" s="746"/>
      <c r="G17" s="728" t="s">
        <v>261</v>
      </c>
      <c r="H17" s="728"/>
      <c r="I17" s="728"/>
      <c r="J17" s="728"/>
      <c r="K17" s="728"/>
      <c r="L17" s="728"/>
      <c r="M17" s="728"/>
      <c r="N17" s="728"/>
      <c r="O17" s="728"/>
      <c r="P17" s="728"/>
      <c r="Q17" s="726">
        <v>0</v>
      </c>
      <c r="R17" s="726"/>
      <c r="S17" s="746"/>
      <c r="T17" s="746"/>
      <c r="U17" s="449"/>
    </row>
    <row r="18" spans="1:21" ht="22.05" customHeight="1" thickTop="1" thickBot="1">
      <c r="A18" s="449"/>
      <c r="B18" s="727" t="s">
        <v>250</v>
      </c>
      <c r="C18" s="727"/>
      <c r="D18" s="727"/>
      <c r="E18" s="569">
        <v>0</v>
      </c>
      <c r="F18" s="746"/>
      <c r="G18" s="727" t="s">
        <v>262</v>
      </c>
      <c r="H18" s="727"/>
      <c r="I18" s="727"/>
      <c r="J18" s="727"/>
      <c r="K18" s="727"/>
      <c r="L18" s="727"/>
      <c r="M18" s="727"/>
      <c r="N18" s="727"/>
      <c r="O18" s="727"/>
      <c r="P18" s="727"/>
      <c r="Q18" s="726">
        <v>0</v>
      </c>
      <c r="R18" s="726"/>
      <c r="S18" s="746"/>
      <c r="T18" s="746"/>
      <c r="U18" s="449"/>
    </row>
    <row r="19" spans="1:21" ht="22.05" customHeight="1" thickTop="1" thickBot="1">
      <c r="A19" s="449"/>
      <c r="B19" s="728" t="s">
        <v>251</v>
      </c>
      <c r="C19" s="728"/>
      <c r="D19" s="728"/>
      <c r="E19" s="569">
        <v>0</v>
      </c>
      <c r="F19" s="746"/>
      <c r="G19" s="728" t="s">
        <v>263</v>
      </c>
      <c r="H19" s="728"/>
      <c r="I19" s="728"/>
      <c r="J19" s="728"/>
      <c r="K19" s="728"/>
      <c r="L19" s="728"/>
      <c r="M19" s="728"/>
      <c r="N19" s="728"/>
      <c r="O19" s="728"/>
      <c r="P19" s="728"/>
      <c r="Q19" s="726">
        <v>0</v>
      </c>
      <c r="R19" s="726"/>
      <c r="S19" s="746"/>
      <c r="T19" s="746"/>
      <c r="U19" s="449"/>
    </row>
    <row r="20" spans="1:21" ht="22.05" customHeight="1" thickTop="1" thickBot="1">
      <c r="A20" s="449"/>
      <c r="B20" s="727" t="s">
        <v>876</v>
      </c>
      <c r="C20" s="727"/>
      <c r="D20" s="727"/>
      <c r="E20" s="569">
        <v>0</v>
      </c>
      <c r="F20" s="746"/>
      <c r="G20" s="727" t="s">
        <v>264</v>
      </c>
      <c r="H20" s="727"/>
      <c r="I20" s="727"/>
      <c r="J20" s="727"/>
      <c r="K20" s="727"/>
      <c r="L20" s="727"/>
      <c r="M20" s="727"/>
      <c r="N20" s="727"/>
      <c r="O20" s="727"/>
      <c r="P20" s="727"/>
      <c r="Q20" s="726"/>
      <c r="R20" s="726"/>
      <c r="S20" s="746"/>
      <c r="T20" s="746"/>
      <c r="U20" s="449"/>
    </row>
    <row r="21" spans="1:21" ht="22.05" customHeight="1" thickTop="1" thickBot="1">
      <c r="A21" s="449"/>
      <c r="B21" s="728" t="s">
        <v>252</v>
      </c>
      <c r="C21" s="728"/>
      <c r="D21" s="728"/>
      <c r="E21" s="569">
        <v>0</v>
      </c>
      <c r="F21" s="746"/>
      <c r="G21" s="728" t="s">
        <v>265</v>
      </c>
      <c r="H21" s="728"/>
      <c r="I21" s="728"/>
      <c r="J21" s="728"/>
      <c r="K21" s="728"/>
      <c r="L21" s="728"/>
      <c r="M21" s="728"/>
      <c r="N21" s="728"/>
      <c r="O21" s="728"/>
      <c r="P21" s="728"/>
      <c r="Q21" s="726">
        <v>0</v>
      </c>
      <c r="R21" s="726"/>
      <c r="S21" s="746"/>
      <c r="T21" s="746"/>
      <c r="U21" s="449"/>
    </row>
    <row r="22" spans="1:21" ht="22.05" customHeight="1" thickTop="1" thickBot="1">
      <c r="A22" s="449"/>
      <c r="B22" s="728" t="s">
        <v>885</v>
      </c>
      <c r="C22" s="728"/>
      <c r="D22" s="728"/>
      <c r="E22" s="569">
        <v>0</v>
      </c>
      <c r="F22" s="564"/>
      <c r="G22" s="728" t="s">
        <v>886</v>
      </c>
      <c r="H22" s="728"/>
      <c r="I22" s="728"/>
      <c r="J22" s="728"/>
      <c r="K22" s="728"/>
      <c r="L22" s="728"/>
      <c r="M22" s="728"/>
      <c r="N22" s="728"/>
      <c r="O22" s="728"/>
      <c r="P22" s="728"/>
      <c r="Q22" s="766"/>
      <c r="R22" s="766"/>
      <c r="S22" s="564"/>
      <c r="T22" s="564"/>
      <c r="U22" s="449"/>
    </row>
    <row r="23" spans="1:21" ht="15.6" thickTop="1" thickBot="1">
      <c r="A23" s="449"/>
      <c r="B23" s="729"/>
      <c r="C23" s="729"/>
      <c r="D23" s="729"/>
      <c r="E23" s="729"/>
      <c r="F23" s="729"/>
      <c r="G23" s="729"/>
      <c r="H23" s="729"/>
      <c r="I23" s="729"/>
      <c r="J23" s="729"/>
      <c r="K23" s="729"/>
      <c r="L23" s="729"/>
      <c r="M23" s="729"/>
      <c r="N23" s="729"/>
      <c r="O23" s="729"/>
      <c r="P23" s="393"/>
      <c r="Q23" s="393"/>
      <c r="R23" s="393"/>
      <c r="S23" s="393"/>
      <c r="T23" s="393"/>
      <c r="U23" s="449"/>
    </row>
    <row r="24" spans="1:21" ht="24" thickTop="1" thickBot="1">
      <c r="A24" s="449"/>
      <c r="B24" s="763" t="s">
        <v>503</v>
      </c>
      <c r="C24" s="764"/>
      <c r="D24" s="764"/>
      <c r="E24" s="764"/>
      <c r="F24" s="764"/>
      <c r="G24" s="764"/>
      <c r="H24" s="764"/>
      <c r="I24" s="764"/>
      <c r="J24" s="764"/>
      <c r="K24" s="764"/>
      <c r="L24" s="764"/>
      <c r="M24" s="764"/>
      <c r="N24" s="764"/>
      <c r="O24" s="764"/>
      <c r="P24" s="764"/>
      <c r="Q24" s="764"/>
      <c r="R24" s="764"/>
      <c r="S24" s="764"/>
      <c r="T24" s="765"/>
      <c r="U24" s="449"/>
    </row>
    <row r="25" spans="1:21" ht="28.8" customHeight="1" thickTop="1" thickBot="1">
      <c r="A25" s="449"/>
      <c r="B25" s="394" t="s">
        <v>502</v>
      </c>
      <c r="C25" s="394" t="s">
        <v>490</v>
      </c>
      <c r="D25" s="394" t="s">
        <v>491</v>
      </c>
      <c r="E25" s="394" t="s">
        <v>492</v>
      </c>
      <c r="F25" s="730" t="s">
        <v>493</v>
      </c>
      <c r="G25" s="730"/>
      <c r="H25" s="394" t="s">
        <v>494</v>
      </c>
      <c r="I25" s="394" t="s">
        <v>495</v>
      </c>
      <c r="J25" s="394" t="s">
        <v>497</v>
      </c>
      <c r="K25" s="394" t="s">
        <v>498</v>
      </c>
      <c r="L25" s="394" t="s">
        <v>499</v>
      </c>
      <c r="M25" s="394" t="s">
        <v>500</v>
      </c>
      <c r="N25" s="394" t="s">
        <v>501</v>
      </c>
      <c r="O25" s="730" t="s">
        <v>496</v>
      </c>
      <c r="P25" s="730"/>
      <c r="Q25" s="719" t="s">
        <v>932</v>
      </c>
      <c r="R25" s="720"/>
      <c r="S25" s="723" t="s">
        <v>6</v>
      </c>
      <c r="T25" s="724"/>
      <c r="U25" s="449"/>
    </row>
    <row r="26" spans="1:21" ht="28.5" customHeight="1" thickTop="1" thickBot="1">
      <c r="A26" s="449"/>
      <c r="B26" s="394" t="s">
        <v>208</v>
      </c>
      <c r="C26" s="395">
        <v>13000</v>
      </c>
      <c r="D26" s="395">
        <v>13000</v>
      </c>
      <c r="E26" s="395">
        <v>13000</v>
      </c>
      <c r="F26" s="731">
        <v>13000</v>
      </c>
      <c r="G26" s="731"/>
      <c r="H26" s="524">
        <v>13000</v>
      </c>
      <c r="I26" s="524">
        <v>18000</v>
      </c>
      <c r="J26" s="524">
        <v>18000</v>
      </c>
      <c r="K26" s="524">
        <v>18000</v>
      </c>
      <c r="L26" s="524">
        <v>35000</v>
      </c>
      <c r="M26" s="395">
        <v>35000</v>
      </c>
      <c r="N26" s="395">
        <v>35000</v>
      </c>
      <c r="O26" s="731">
        <v>30000</v>
      </c>
      <c r="P26" s="731"/>
      <c r="Q26" s="721">
        <f>SUM(Salary!$X$22:$X$29,Q21)</f>
        <v>9447</v>
      </c>
      <c r="R26" s="722"/>
      <c r="S26" s="725">
        <f>SUM(C26:R26)</f>
        <v>263447</v>
      </c>
      <c r="T26" s="722"/>
      <c r="U26" s="449"/>
    </row>
    <row r="27" spans="1:21" ht="28.5" customHeight="1" thickTop="1" thickBot="1">
      <c r="A27" s="449"/>
      <c r="B27" s="752" t="s">
        <v>650</v>
      </c>
      <c r="C27" s="753"/>
      <c r="D27" s="528">
        <f>ROUNDUP(Assesment!Q68/12,-1)</f>
        <v>2210</v>
      </c>
      <c r="E27" s="529"/>
      <c r="F27" s="522"/>
      <c r="G27" s="522"/>
      <c r="H27" s="754" t="str">
        <f>Assesment!B71</f>
        <v>Income Tax Refundable (Rounded off)</v>
      </c>
      <c r="I27" s="755"/>
      <c r="J27" s="756"/>
      <c r="K27" s="752">
        <f>Assesment!P71</f>
        <v>236930</v>
      </c>
      <c r="L27" s="753"/>
      <c r="M27" s="522"/>
      <c r="N27" s="522"/>
      <c r="O27" s="522"/>
      <c r="P27" s="522"/>
      <c r="Q27" s="527"/>
      <c r="R27" s="523"/>
      <c r="S27" s="523"/>
      <c r="T27" s="523"/>
      <c r="U27" s="449"/>
    </row>
    <row r="28" spans="1:21" ht="15.6" thickTop="1" thickBot="1">
      <c r="A28" s="449"/>
      <c r="B28" s="399"/>
      <c r="C28" s="348"/>
      <c r="D28" s="348"/>
      <c r="E28" s="348"/>
      <c r="F28" s="348"/>
      <c r="G28" s="348"/>
      <c r="H28" s="348"/>
      <c r="I28" s="348"/>
      <c r="J28" s="348"/>
      <c r="K28" s="525"/>
      <c r="L28" s="526"/>
      <c r="M28" s="348"/>
      <c r="N28" s="348"/>
      <c r="O28" s="348"/>
      <c r="P28" s="348"/>
      <c r="Q28" s="348"/>
      <c r="R28" s="348"/>
      <c r="S28" s="348"/>
      <c r="T28" s="348"/>
      <c r="U28" s="449"/>
    </row>
    <row r="29" spans="1:21" ht="24" thickTop="1" thickBot="1">
      <c r="A29" s="449"/>
      <c r="B29" s="760" t="s">
        <v>651</v>
      </c>
      <c r="C29" s="761"/>
      <c r="D29" s="761"/>
      <c r="E29" s="761"/>
      <c r="F29" s="761"/>
      <c r="G29" s="761"/>
      <c r="H29" s="761"/>
      <c r="I29" s="761"/>
      <c r="J29" s="761"/>
      <c r="K29" s="761"/>
      <c r="L29" s="761"/>
      <c r="M29" s="761"/>
      <c r="N29" s="761"/>
      <c r="O29" s="761"/>
      <c r="P29" s="761"/>
      <c r="Q29" s="761"/>
      <c r="R29" s="761"/>
      <c r="S29" s="761"/>
      <c r="T29" s="762"/>
      <c r="U29" s="449"/>
    </row>
    <row r="30" spans="1:21" ht="30" customHeight="1" thickTop="1">
      <c r="A30" s="449"/>
      <c r="B30" s="14" t="s">
        <v>518</v>
      </c>
      <c r="C30" s="14"/>
      <c r="D30" s="14"/>
      <c r="E30" s="14"/>
      <c r="F30" s="14"/>
      <c r="G30" s="14"/>
      <c r="H30" s="14"/>
      <c r="I30" s="14"/>
      <c r="J30" s="14"/>
      <c r="K30" s="14"/>
      <c r="L30" s="357"/>
      <c r="M30" s="357"/>
      <c r="N30" s="14"/>
      <c r="O30" s="14"/>
      <c r="P30" s="14"/>
      <c r="Q30" s="757"/>
      <c r="R30" s="757"/>
      <c r="S30" s="14"/>
      <c r="T30" s="14"/>
      <c r="U30" s="449"/>
    </row>
    <row r="31" spans="1:21" ht="15" thickBot="1">
      <c r="A31" s="449"/>
      <c r="B31" s="14"/>
      <c r="C31" s="14"/>
      <c r="D31" s="14"/>
      <c r="E31" s="14"/>
      <c r="F31" s="14"/>
      <c r="G31" s="14"/>
      <c r="H31" s="14"/>
      <c r="I31" s="14"/>
      <c r="J31" s="14"/>
      <c r="K31" s="14"/>
      <c r="L31" s="14"/>
      <c r="M31" s="14"/>
      <c r="N31" s="14"/>
      <c r="O31" s="14"/>
      <c r="P31" s="14"/>
      <c r="Q31" s="14"/>
      <c r="R31" s="14"/>
      <c r="S31" s="14"/>
      <c r="T31" s="14"/>
      <c r="U31" s="449"/>
    </row>
    <row r="32" spans="1:21" ht="31.5" customHeight="1" thickTop="1" thickBot="1">
      <c r="A32" s="449"/>
      <c r="B32" s="14"/>
      <c r="C32" s="748" t="s">
        <v>519</v>
      </c>
      <c r="D32" s="749"/>
      <c r="E32" s="749"/>
      <c r="F32" s="758" t="s">
        <v>194</v>
      </c>
      <c r="G32" s="758"/>
      <c r="H32" s="350" t="s">
        <v>506</v>
      </c>
      <c r="I32" s="14"/>
      <c r="J32" s="14"/>
      <c r="K32" s="14"/>
      <c r="L32" s="14"/>
      <c r="M32" s="14"/>
      <c r="N32" s="14"/>
      <c r="O32" s="14"/>
      <c r="P32" s="14"/>
      <c r="Q32" s="14"/>
      <c r="R32" s="14"/>
      <c r="S32" s="14"/>
      <c r="T32" s="14"/>
      <c r="U32" s="449"/>
    </row>
    <row r="33" spans="1:21" ht="27.6" customHeight="1" thickBot="1">
      <c r="A33" s="449"/>
      <c r="B33" s="14"/>
      <c r="C33" s="750"/>
      <c r="D33" s="751"/>
      <c r="E33" s="751"/>
      <c r="F33" s="759"/>
      <c r="G33" s="759"/>
      <c r="H33" s="351">
        <v>7000</v>
      </c>
      <c r="I33" s="14"/>
      <c r="J33" s="14"/>
      <c r="K33" s="14"/>
      <c r="L33" s="14"/>
      <c r="M33" s="14"/>
      <c r="N33" s="14"/>
      <c r="O33" s="14"/>
      <c r="P33" s="14"/>
      <c r="Q33" s="14"/>
      <c r="R33" s="14"/>
      <c r="S33" s="14"/>
      <c r="T33" s="14"/>
      <c r="U33" s="449"/>
    </row>
    <row r="34" spans="1:21" ht="15" thickTop="1">
      <c r="A34" s="449"/>
      <c r="B34" s="14"/>
      <c r="C34" s="14"/>
      <c r="D34" s="14"/>
      <c r="E34" s="14"/>
      <c r="F34" s="14"/>
      <c r="G34" s="14"/>
      <c r="H34" s="14"/>
      <c r="I34" s="14"/>
      <c r="J34" s="14"/>
      <c r="K34" s="14"/>
      <c r="L34" s="14"/>
      <c r="M34" s="14"/>
      <c r="N34" s="14"/>
      <c r="O34" s="14"/>
      <c r="P34" s="14"/>
      <c r="Q34" s="14"/>
      <c r="R34" s="14"/>
      <c r="S34" s="14"/>
      <c r="T34" s="14"/>
      <c r="U34" s="449"/>
    </row>
    <row r="35" spans="1:21">
      <c r="A35" s="449"/>
      <c r="B35" s="14"/>
      <c r="C35" s="14"/>
      <c r="D35" s="14"/>
      <c r="E35" s="14"/>
      <c r="F35" s="14"/>
      <c r="G35" s="14"/>
      <c r="H35" s="14"/>
      <c r="I35" s="14"/>
      <c r="J35" s="14"/>
      <c r="K35" s="14"/>
      <c r="L35" s="14"/>
      <c r="M35" s="14"/>
      <c r="N35" s="14"/>
      <c r="O35" s="14"/>
      <c r="P35" s="14"/>
      <c r="Q35" s="14"/>
      <c r="R35" s="14"/>
      <c r="S35" s="14"/>
      <c r="T35" s="14"/>
      <c r="U35" s="449"/>
    </row>
    <row r="36" spans="1:21" ht="24.6" customHeight="1">
      <c r="A36" s="449"/>
      <c r="B36" s="14"/>
      <c r="C36" s="14"/>
      <c r="D36" s="14"/>
      <c r="E36" s="14"/>
      <c r="F36" s="14"/>
      <c r="G36" s="14"/>
      <c r="H36" s="14"/>
      <c r="I36" s="14"/>
      <c r="J36" s="14"/>
      <c r="K36" s="14"/>
      <c r="L36" s="14"/>
      <c r="M36" s="14"/>
      <c r="N36" s="14"/>
      <c r="O36" s="14"/>
      <c r="P36" s="14"/>
      <c r="Q36" s="14"/>
      <c r="R36" s="14"/>
      <c r="S36" s="14"/>
      <c r="T36" s="14"/>
      <c r="U36" s="449"/>
    </row>
    <row r="37" spans="1:21" ht="25.5" customHeight="1">
      <c r="A37" s="449"/>
      <c r="B37" s="14"/>
      <c r="C37" s="14"/>
      <c r="D37" s="14"/>
      <c r="E37" s="14"/>
      <c r="F37" s="14"/>
      <c r="G37" s="14"/>
      <c r="H37" s="14"/>
      <c r="I37" s="14"/>
      <c r="J37" s="14"/>
      <c r="K37" s="14"/>
      <c r="L37" s="14"/>
      <c r="M37" s="14"/>
      <c r="N37" s="14"/>
      <c r="O37" s="14"/>
      <c r="P37" s="14"/>
      <c r="Q37" s="14"/>
      <c r="R37" s="14"/>
      <c r="S37" s="14"/>
      <c r="T37" s="14"/>
      <c r="U37" s="449"/>
    </row>
    <row r="38" spans="1:21" ht="22.05" customHeight="1">
      <c r="A38" s="449"/>
      <c r="B38" s="14"/>
      <c r="C38" s="14"/>
      <c r="D38" s="14"/>
      <c r="E38" s="14"/>
      <c r="F38" s="14"/>
      <c r="G38" s="14"/>
      <c r="H38" s="14"/>
      <c r="I38" s="14"/>
      <c r="J38" s="14"/>
      <c r="K38" s="14"/>
      <c r="L38" s="14"/>
      <c r="M38" s="14"/>
      <c r="N38" s="14"/>
      <c r="O38" s="14"/>
      <c r="P38" s="14"/>
      <c r="Q38" s="14"/>
      <c r="R38" s="14"/>
      <c r="S38" s="14"/>
      <c r="T38" s="14"/>
      <c r="U38" s="449"/>
    </row>
    <row r="39" spans="1:21" ht="15" thickBot="1">
      <c r="A39" s="449"/>
      <c r="B39" s="348"/>
      <c r="C39" s="348"/>
      <c r="D39" s="348"/>
      <c r="E39" s="348"/>
      <c r="F39" s="348"/>
      <c r="G39" s="348"/>
      <c r="H39" s="348"/>
      <c r="I39" s="348"/>
      <c r="J39" s="348"/>
      <c r="K39" s="348"/>
      <c r="L39" s="348"/>
      <c r="M39" s="348"/>
      <c r="N39" s="348"/>
      <c r="O39" s="348"/>
      <c r="P39" s="348"/>
      <c r="Q39" s="348"/>
      <c r="R39" s="348"/>
      <c r="S39" s="348"/>
      <c r="T39" s="348"/>
      <c r="U39" s="449"/>
    </row>
    <row r="40" spans="1:21" ht="15" thickTop="1"/>
    <row r="41" spans="1:21" hidden="1"/>
    <row r="42" spans="1:21" hidden="1"/>
    <row r="43" spans="1:21" hidden="1"/>
    <row r="44" spans="1:21" hidden="1"/>
    <row r="45" spans="1:21" hidden="1"/>
    <row r="46" spans="1:21" hidden="1"/>
    <row r="47" spans="1:21" hidden="1"/>
  </sheetData>
  <sheetProtection password="CEE5" sheet="1" objects="1" scenarios="1" formatColumns="0" formatRows="0" selectLockedCells="1"/>
  <mergeCells count="82">
    <mergeCell ref="Q14:R14"/>
    <mergeCell ref="Q7:R7"/>
    <mergeCell ref="Q12:R12"/>
    <mergeCell ref="Q17:R17"/>
    <mergeCell ref="G6:P6"/>
    <mergeCell ref="Q6:R6"/>
    <mergeCell ref="Q11:R11"/>
    <mergeCell ref="G15:I15"/>
    <mergeCell ref="Q15:R15"/>
    <mergeCell ref="Q13:R13"/>
    <mergeCell ref="G14:P14"/>
    <mergeCell ref="Q9:R9"/>
    <mergeCell ref="Q10:R10"/>
    <mergeCell ref="K11:O11"/>
    <mergeCell ref="G11:J11"/>
    <mergeCell ref="G13:J13"/>
    <mergeCell ref="G12:J12"/>
    <mergeCell ref="B15:D15"/>
    <mergeCell ref="F6:F21"/>
    <mergeCell ref="B12:D12"/>
    <mergeCell ref="B13:D13"/>
    <mergeCell ref="G7:P7"/>
    <mergeCell ref="B11:D11"/>
    <mergeCell ref="B14:D14"/>
    <mergeCell ref="N15:O15"/>
    <mergeCell ref="B17:D17"/>
    <mergeCell ref="G17:P17"/>
    <mergeCell ref="K16:O16"/>
    <mergeCell ref="G16:J16"/>
    <mergeCell ref="K12:O12"/>
    <mergeCell ref="K13:O13"/>
    <mergeCell ref="G10:P10"/>
    <mergeCell ref="O26:P26"/>
    <mergeCell ref="B24:T24"/>
    <mergeCell ref="B19:D19"/>
    <mergeCell ref="G18:P18"/>
    <mergeCell ref="G19:P19"/>
    <mergeCell ref="G20:P20"/>
    <mergeCell ref="B18:D18"/>
    <mergeCell ref="B22:D22"/>
    <mergeCell ref="G22:P22"/>
    <mergeCell ref="Q22:R22"/>
    <mergeCell ref="Q18:R18"/>
    <mergeCell ref="C32:E33"/>
    <mergeCell ref="K27:L27"/>
    <mergeCell ref="H27:J27"/>
    <mergeCell ref="B27:C27"/>
    <mergeCell ref="Q30:R30"/>
    <mergeCell ref="F32:G33"/>
    <mergeCell ref="B29:T29"/>
    <mergeCell ref="D3:M3"/>
    <mergeCell ref="B8:D8"/>
    <mergeCell ref="B5:T5"/>
    <mergeCell ref="B7:D7"/>
    <mergeCell ref="G8:P8"/>
    <mergeCell ref="Q8:R8"/>
    <mergeCell ref="B6:D6"/>
    <mergeCell ref="S6:T21"/>
    <mergeCell ref="B9:D9"/>
    <mergeCell ref="B10:D10"/>
    <mergeCell ref="B20:D20"/>
    <mergeCell ref="Q19:R19"/>
    <mergeCell ref="G9:P9"/>
    <mergeCell ref="B21:D21"/>
    <mergeCell ref="K15:L15"/>
    <mergeCell ref="Q20:R20"/>
    <mergeCell ref="A6:A8"/>
    <mergeCell ref="Q25:R25"/>
    <mergeCell ref="Q26:R26"/>
    <mergeCell ref="S25:T25"/>
    <mergeCell ref="S26:T26"/>
    <mergeCell ref="Q16:R16"/>
    <mergeCell ref="B16:D16"/>
    <mergeCell ref="G21:P21"/>
    <mergeCell ref="G23:I23"/>
    <mergeCell ref="J23:L23"/>
    <mergeCell ref="M23:O23"/>
    <mergeCell ref="B23:F23"/>
    <mergeCell ref="F25:G25"/>
    <mergeCell ref="F26:G26"/>
    <mergeCell ref="Q21:R21"/>
    <mergeCell ref="O25:P25"/>
  </mergeCells>
  <dataValidations xWindow="1327" yWindow="458" count="7">
    <dataValidation type="whole" allowBlank="1" showInputMessage="1" showErrorMessage="1" sqref="Q32:R32" xr:uid="{00000000-0002-0000-0300-000000000000}">
      <formula1>0</formula1>
      <formula2>50000</formula2>
    </dataValidation>
    <dataValidation type="list" allowBlank="1" showInputMessage="1" showErrorMessage="1" sqref="F32" xr:uid="{00000000-0002-0000-0300-000001000000}">
      <formula1>"YES,NO"</formula1>
    </dataValidation>
    <dataValidation type="whole" allowBlank="1" showInputMessage="1" showErrorMessage="1" prompt="ALLOWED MAXIMUM 50000" sqref="Q10:R10" xr:uid="{00000000-0002-0000-0300-000002000000}">
      <formula1>0</formula1>
      <formula2>50000</formula2>
    </dataValidation>
    <dataValidation type="whole" operator="greaterThanOrEqual" allowBlank="1" showInputMessage="1" showErrorMessage="1" sqref="E9:E22 E6 Q8:R9" xr:uid="{00000000-0002-0000-0300-000003000000}">
      <formula1>0</formula1>
    </dataValidation>
    <dataValidation allowBlank="1" showInputMessage="1" showErrorMessage="1" prompt="Maximum allowed for more then 80% handicated 125000 and others 75000" sqref="Q16:R16" xr:uid="{00000000-0002-0000-0300-000004000000}"/>
    <dataValidation allowBlank="1" showInputMessage="1" showErrorMessage="1" prompt="Maximum allowed for more then 80% handicated 125000 and others 75000_x000a_" sqref="Q12:R12" xr:uid="{00000000-0002-0000-0300-000005000000}"/>
    <dataValidation type="whole" operator="lessThanOrEqual" allowBlank="1" showInputMessage="1" showErrorMessage="1" errorTitle="Sorry...!!! Not Allow" error="HRA Rebate Permissible up to Actual HRA Recieved" sqref="Q7" xr:uid="{00000000-0002-0000-0300-000006000000}">
      <formula1>S21</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90" r:id="rId4" name="Group Box 50">
              <controlPr defaultSize="0" autoFill="0" autoPict="0">
                <anchor moveWithCells="1">
                  <from>
                    <xdr:col>10</xdr:col>
                    <xdr:colOff>167640</xdr:colOff>
                    <xdr:row>10</xdr:row>
                    <xdr:rowOff>53340</xdr:rowOff>
                  </from>
                  <to>
                    <xdr:col>14</xdr:col>
                    <xdr:colOff>220980</xdr:colOff>
                    <xdr:row>10</xdr:row>
                    <xdr:rowOff>396240</xdr:rowOff>
                  </to>
                </anchor>
              </controlPr>
            </control>
          </mc:Choice>
        </mc:AlternateContent>
        <mc:AlternateContent xmlns:mc="http://schemas.openxmlformats.org/markup-compatibility/2006">
          <mc:Choice Requires="x14">
            <control shapeId="10292" r:id="rId5" name="Group Box 52">
              <controlPr defaultSize="0" autoFill="0" autoPict="0">
                <anchor moveWithCells="1">
                  <from>
                    <xdr:col>10</xdr:col>
                    <xdr:colOff>167640</xdr:colOff>
                    <xdr:row>11</xdr:row>
                    <xdr:rowOff>91440</xdr:rowOff>
                  </from>
                  <to>
                    <xdr:col>14</xdr:col>
                    <xdr:colOff>205740</xdr:colOff>
                    <xdr:row>11</xdr:row>
                    <xdr:rowOff>388620</xdr:rowOff>
                  </to>
                </anchor>
              </controlPr>
            </control>
          </mc:Choice>
        </mc:AlternateContent>
        <mc:AlternateContent xmlns:mc="http://schemas.openxmlformats.org/markup-compatibility/2006">
          <mc:Choice Requires="x14">
            <control shapeId="10293" r:id="rId6" name="Group Box 53">
              <controlPr defaultSize="0" autoFill="0" autoPict="0">
                <anchor moveWithCells="1">
                  <from>
                    <xdr:col>10</xdr:col>
                    <xdr:colOff>167640</xdr:colOff>
                    <xdr:row>12</xdr:row>
                    <xdr:rowOff>68580</xdr:rowOff>
                  </from>
                  <to>
                    <xdr:col>14</xdr:col>
                    <xdr:colOff>213360</xdr:colOff>
                    <xdr:row>12</xdr:row>
                    <xdr:rowOff>396240</xdr:rowOff>
                  </to>
                </anchor>
              </controlPr>
            </control>
          </mc:Choice>
        </mc:AlternateContent>
        <mc:AlternateContent xmlns:mc="http://schemas.openxmlformats.org/markup-compatibility/2006">
          <mc:Choice Requires="x14">
            <control shapeId="10295" r:id="rId7" name="Option Button 55">
              <controlPr locked="0" defaultSize="0" autoFill="0" autoLine="0" autoPict="0">
                <anchor>
                  <from>
                    <xdr:col>10</xdr:col>
                    <xdr:colOff>457200</xdr:colOff>
                    <xdr:row>10</xdr:row>
                    <xdr:rowOff>68580</xdr:rowOff>
                  </from>
                  <to>
                    <xdr:col>12</xdr:col>
                    <xdr:colOff>0</xdr:colOff>
                    <xdr:row>10</xdr:row>
                    <xdr:rowOff>320040</xdr:rowOff>
                  </to>
                </anchor>
              </controlPr>
            </control>
          </mc:Choice>
        </mc:AlternateContent>
        <mc:AlternateContent xmlns:mc="http://schemas.openxmlformats.org/markup-compatibility/2006">
          <mc:Choice Requires="x14">
            <control shapeId="10296" r:id="rId8" name="Option Button 56">
              <controlPr locked="0" defaultSize="0" autoFill="0" autoLine="0" autoPict="0">
                <anchor moveWithCells="1">
                  <from>
                    <xdr:col>12</xdr:col>
                    <xdr:colOff>45720</xdr:colOff>
                    <xdr:row>10</xdr:row>
                    <xdr:rowOff>121920</xdr:rowOff>
                  </from>
                  <to>
                    <xdr:col>14</xdr:col>
                    <xdr:colOff>144780</xdr:colOff>
                    <xdr:row>10</xdr:row>
                    <xdr:rowOff>365760</xdr:rowOff>
                  </to>
                </anchor>
              </controlPr>
            </control>
          </mc:Choice>
        </mc:AlternateContent>
        <mc:AlternateContent xmlns:mc="http://schemas.openxmlformats.org/markup-compatibility/2006">
          <mc:Choice Requires="x14">
            <control shapeId="10297" r:id="rId9" name="Option Button 57">
              <controlPr defaultSize="0" autoFill="0" autoLine="0" autoPict="0">
                <anchor>
                  <from>
                    <xdr:col>10</xdr:col>
                    <xdr:colOff>502920</xdr:colOff>
                    <xdr:row>11</xdr:row>
                    <xdr:rowOff>60960</xdr:rowOff>
                  </from>
                  <to>
                    <xdr:col>12</xdr:col>
                    <xdr:colOff>0</xdr:colOff>
                    <xdr:row>11</xdr:row>
                    <xdr:rowOff>304800</xdr:rowOff>
                  </to>
                </anchor>
              </controlPr>
            </control>
          </mc:Choice>
        </mc:AlternateContent>
        <mc:AlternateContent xmlns:mc="http://schemas.openxmlformats.org/markup-compatibility/2006">
          <mc:Choice Requires="x14">
            <control shapeId="10298" r:id="rId10" name="Option Button 58">
              <controlPr defaultSize="0" autoFill="0" autoLine="0" autoPict="0">
                <anchor>
                  <from>
                    <xdr:col>12</xdr:col>
                    <xdr:colOff>121920</xdr:colOff>
                    <xdr:row>11</xdr:row>
                    <xdr:rowOff>53340</xdr:rowOff>
                  </from>
                  <to>
                    <xdr:col>14</xdr:col>
                    <xdr:colOff>182880</xdr:colOff>
                    <xdr:row>11</xdr:row>
                    <xdr:rowOff>297180</xdr:rowOff>
                  </to>
                </anchor>
              </controlPr>
            </control>
          </mc:Choice>
        </mc:AlternateContent>
        <mc:AlternateContent xmlns:mc="http://schemas.openxmlformats.org/markup-compatibility/2006">
          <mc:Choice Requires="x14">
            <control shapeId="10299" r:id="rId11" name="Option Button 59">
              <controlPr defaultSize="0" autoFill="0" autoLine="0" autoPict="0">
                <anchor>
                  <from>
                    <xdr:col>10</xdr:col>
                    <xdr:colOff>502920</xdr:colOff>
                    <xdr:row>12</xdr:row>
                    <xdr:rowOff>76200</xdr:rowOff>
                  </from>
                  <to>
                    <xdr:col>12</xdr:col>
                    <xdr:colOff>0</xdr:colOff>
                    <xdr:row>12</xdr:row>
                    <xdr:rowOff>289560</xdr:rowOff>
                  </to>
                </anchor>
              </controlPr>
            </control>
          </mc:Choice>
        </mc:AlternateContent>
        <mc:AlternateContent xmlns:mc="http://schemas.openxmlformats.org/markup-compatibility/2006">
          <mc:Choice Requires="x14">
            <control shapeId="10300" r:id="rId12" name="Option Button 60">
              <controlPr defaultSize="0" autoFill="0" autoLine="0" autoPict="0">
                <anchor>
                  <from>
                    <xdr:col>12</xdr:col>
                    <xdr:colOff>15240</xdr:colOff>
                    <xdr:row>12</xdr:row>
                    <xdr:rowOff>30480</xdr:rowOff>
                  </from>
                  <to>
                    <xdr:col>14</xdr:col>
                    <xdr:colOff>137160</xdr:colOff>
                    <xdr:row>12</xdr:row>
                    <xdr:rowOff>274320</xdr:rowOff>
                  </to>
                </anchor>
              </controlPr>
            </control>
          </mc:Choice>
        </mc:AlternateContent>
        <mc:AlternateContent xmlns:mc="http://schemas.openxmlformats.org/markup-compatibility/2006">
          <mc:Choice Requires="x14">
            <control shapeId="10301" r:id="rId13" name="Group Box 61">
              <controlPr defaultSize="0" autoFill="0" autoPict="0">
                <anchor moveWithCells="1">
                  <from>
                    <xdr:col>10</xdr:col>
                    <xdr:colOff>220980</xdr:colOff>
                    <xdr:row>15</xdr:row>
                    <xdr:rowOff>83820</xdr:rowOff>
                  </from>
                  <to>
                    <xdr:col>14</xdr:col>
                    <xdr:colOff>198120</xdr:colOff>
                    <xdr:row>15</xdr:row>
                    <xdr:rowOff>403860</xdr:rowOff>
                  </to>
                </anchor>
              </controlPr>
            </control>
          </mc:Choice>
        </mc:AlternateContent>
        <mc:AlternateContent xmlns:mc="http://schemas.openxmlformats.org/markup-compatibility/2006">
          <mc:Choice Requires="x14">
            <control shapeId="10302" r:id="rId14" name="Option Button 62">
              <controlPr defaultSize="0" autoFill="0" autoLine="0" autoPict="0">
                <anchor>
                  <from>
                    <xdr:col>10</xdr:col>
                    <xdr:colOff>510540</xdr:colOff>
                    <xdr:row>15</xdr:row>
                    <xdr:rowOff>68580</xdr:rowOff>
                  </from>
                  <to>
                    <xdr:col>12</xdr:col>
                    <xdr:colOff>0</xdr:colOff>
                    <xdr:row>15</xdr:row>
                    <xdr:rowOff>304800</xdr:rowOff>
                  </to>
                </anchor>
              </controlPr>
            </control>
          </mc:Choice>
        </mc:AlternateContent>
        <mc:AlternateContent xmlns:mc="http://schemas.openxmlformats.org/markup-compatibility/2006">
          <mc:Choice Requires="x14">
            <control shapeId="10303" r:id="rId15" name="Option Button 63">
              <controlPr defaultSize="0" autoFill="0" autoLine="0" autoPict="0">
                <anchor>
                  <from>
                    <xdr:col>12</xdr:col>
                    <xdr:colOff>0</xdr:colOff>
                    <xdr:row>15</xdr:row>
                    <xdr:rowOff>76200</xdr:rowOff>
                  </from>
                  <to>
                    <xdr:col>14</xdr:col>
                    <xdr:colOff>83820</xdr:colOff>
                    <xdr:row>15</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249977111117893"/>
    <pageSetUpPr fitToPage="1"/>
  </sheetPr>
  <dimension ref="A1:WWW35"/>
  <sheetViews>
    <sheetView showGridLines="0" zoomScale="70" zoomScaleNormal="70" workbookViewId="0">
      <pane xSplit="2" ySplit="9" topLeftCell="C10" activePane="bottomRight" state="frozen"/>
      <selection pane="topRight" activeCell="C1" sqref="C1"/>
      <selection pane="bottomLeft" activeCell="A10" sqref="A10"/>
      <selection pane="bottomRight" activeCell="B2" sqref="B2:AE2"/>
    </sheetView>
  </sheetViews>
  <sheetFormatPr defaultColWidth="0" defaultRowHeight="14.55" customHeight="1" zeroHeight="1"/>
  <cols>
    <col min="1" max="1" width="2.5546875" customWidth="1"/>
    <col min="2" max="2" width="4.21875" customWidth="1"/>
    <col min="3" max="3" width="18.109375" customWidth="1"/>
    <col min="4" max="4" width="9.77734375" style="1" customWidth="1"/>
    <col min="5" max="5" width="9.77734375" bestFit="1" customWidth="1"/>
    <col min="6" max="11" width="8.77734375" bestFit="1" customWidth="1"/>
    <col min="12" max="12" width="11" customWidth="1"/>
    <col min="13" max="13" width="9.44140625" bestFit="1" customWidth="1"/>
    <col min="14" max="14" width="8.77734375" bestFit="1" customWidth="1"/>
    <col min="15" max="15" width="9.44140625" bestFit="1" customWidth="1"/>
    <col min="16" max="16" width="8" customWidth="1"/>
    <col min="17" max="17" width="8.21875" customWidth="1"/>
    <col min="18" max="20" width="8.77734375" bestFit="1" customWidth="1"/>
    <col min="21" max="21" width="8" customWidth="1"/>
    <col min="22" max="22" width="6.44140625" customWidth="1"/>
    <col min="23" max="24" width="9.44140625" bestFit="1" customWidth="1"/>
    <col min="25" max="25" width="8.77734375" bestFit="1" customWidth="1"/>
    <col min="26" max="26" width="8.77734375" customWidth="1"/>
    <col min="27" max="27" width="7.77734375" customWidth="1"/>
    <col min="28" max="28" width="9.77734375" customWidth="1"/>
    <col min="29" max="29" width="12.44140625" customWidth="1"/>
    <col min="30" max="30" width="13.44140625" customWidth="1"/>
    <col min="31" max="31" width="14.5546875" customWidth="1"/>
    <col min="32" max="32" width="3.21875" customWidth="1"/>
    <col min="33" max="35" width="8.77734375" customWidth="1"/>
    <col min="36" max="36" width="11.5546875" customWidth="1"/>
    <col min="37" max="40" width="8.77734375" hidden="1" customWidth="1"/>
    <col min="41" max="41" width="11.77734375" hidden="1" customWidth="1"/>
    <col min="42" max="42" width="8.77734375" customWidth="1"/>
    <col min="43" max="263" width="8.77734375" hidden="1"/>
    <col min="264" max="264" width="2.5546875" hidden="1"/>
    <col min="265" max="265" width="4.21875" hidden="1"/>
    <col min="266" max="266" width="11.5546875" hidden="1"/>
    <col min="267" max="288" width="8.77734375" hidden="1"/>
    <col min="289" max="289" width="9.44140625" hidden="1"/>
    <col min="290" max="296" width="8.77734375" hidden="1"/>
    <col min="297" max="297" width="11.77734375" hidden="1"/>
    <col min="298" max="519" width="8.77734375" hidden="1"/>
    <col min="520" max="520" width="2.5546875" hidden="1"/>
    <col min="521" max="521" width="4.21875" hidden="1"/>
    <col min="522" max="522" width="11.5546875" hidden="1"/>
    <col min="523" max="544" width="8.77734375" hidden="1"/>
    <col min="545" max="545" width="9.44140625" hidden="1"/>
    <col min="546" max="552" width="8.77734375" hidden="1"/>
    <col min="553" max="553" width="11.77734375" hidden="1"/>
    <col min="554" max="775" width="8.77734375" hidden="1"/>
    <col min="776" max="776" width="2.5546875" hidden="1"/>
    <col min="777" max="777" width="4.21875" hidden="1"/>
    <col min="778" max="778" width="11.5546875" hidden="1"/>
    <col min="779" max="800" width="8.77734375" hidden="1"/>
    <col min="801" max="801" width="9.44140625" hidden="1"/>
    <col min="802" max="808" width="8.77734375" hidden="1"/>
    <col min="809" max="809" width="11.77734375" hidden="1"/>
    <col min="810" max="1031" width="8.77734375" hidden="1"/>
    <col min="1032" max="1032" width="2.5546875" hidden="1"/>
    <col min="1033" max="1033" width="4.21875" hidden="1"/>
    <col min="1034" max="1034" width="11.5546875" hidden="1"/>
    <col min="1035" max="1056" width="8.77734375" hidden="1"/>
    <col min="1057" max="1057" width="9.44140625" hidden="1"/>
    <col min="1058" max="1064" width="8.77734375" hidden="1"/>
    <col min="1065" max="1065" width="11.77734375" hidden="1"/>
    <col min="1066" max="1287" width="8.77734375" hidden="1"/>
    <col min="1288" max="1288" width="2.5546875" hidden="1"/>
    <col min="1289" max="1289" width="4.21875" hidden="1"/>
    <col min="1290" max="1290" width="11.5546875" hidden="1"/>
    <col min="1291" max="1312" width="8.77734375" hidden="1"/>
    <col min="1313" max="1313" width="9.44140625" hidden="1"/>
    <col min="1314" max="1320" width="8.77734375" hidden="1"/>
    <col min="1321" max="1321" width="11.77734375" hidden="1"/>
    <col min="1322" max="1543" width="8.77734375" hidden="1"/>
    <col min="1544" max="1544" width="2.5546875" hidden="1"/>
    <col min="1545" max="1545" width="4.21875" hidden="1"/>
    <col min="1546" max="1546" width="11.5546875" hidden="1"/>
    <col min="1547" max="1568" width="8.77734375" hidden="1"/>
    <col min="1569" max="1569" width="9.44140625" hidden="1"/>
    <col min="1570" max="1576" width="8.77734375" hidden="1"/>
    <col min="1577" max="1577" width="11.77734375" hidden="1"/>
    <col min="1578" max="1799" width="8.77734375" hidden="1"/>
    <col min="1800" max="1800" width="2.5546875" hidden="1"/>
    <col min="1801" max="1801" width="4.21875" hidden="1"/>
    <col min="1802" max="1802" width="11.5546875" hidden="1"/>
    <col min="1803" max="1824" width="8.77734375" hidden="1"/>
    <col min="1825" max="1825" width="9.44140625" hidden="1"/>
    <col min="1826" max="1832" width="8.77734375" hidden="1"/>
    <col min="1833" max="1833" width="11.77734375" hidden="1"/>
    <col min="1834" max="2055" width="8.77734375" hidden="1"/>
    <col min="2056" max="2056" width="2.5546875" hidden="1"/>
    <col min="2057" max="2057" width="4.21875" hidden="1"/>
    <col min="2058" max="2058" width="11.5546875" hidden="1"/>
    <col min="2059" max="2080" width="8.77734375" hidden="1"/>
    <col min="2081" max="2081" width="9.44140625" hidden="1"/>
    <col min="2082" max="2088" width="8.77734375" hidden="1"/>
    <col min="2089" max="2089" width="11.77734375" hidden="1"/>
    <col min="2090" max="2311" width="8.77734375" hidden="1"/>
    <col min="2312" max="2312" width="2.5546875" hidden="1"/>
    <col min="2313" max="2313" width="4.21875" hidden="1"/>
    <col min="2314" max="2314" width="11.5546875" hidden="1"/>
    <col min="2315" max="2336" width="8.77734375" hidden="1"/>
    <col min="2337" max="2337" width="9.44140625" hidden="1"/>
    <col min="2338" max="2344" width="8.77734375" hidden="1"/>
    <col min="2345" max="2345" width="11.77734375" hidden="1"/>
    <col min="2346" max="2567" width="8.77734375" hidden="1"/>
    <col min="2568" max="2568" width="2.5546875" hidden="1"/>
    <col min="2569" max="2569" width="4.21875" hidden="1"/>
    <col min="2570" max="2570" width="11.5546875" hidden="1"/>
    <col min="2571" max="2592" width="8.77734375" hidden="1"/>
    <col min="2593" max="2593" width="9.44140625" hidden="1"/>
    <col min="2594" max="2600" width="8.77734375" hidden="1"/>
    <col min="2601" max="2601" width="11.77734375" hidden="1"/>
    <col min="2602" max="2823" width="8.77734375" hidden="1"/>
    <col min="2824" max="2824" width="2.5546875" hidden="1"/>
    <col min="2825" max="2825" width="4.21875" hidden="1"/>
    <col min="2826" max="2826" width="11.5546875" hidden="1"/>
    <col min="2827" max="2848" width="8.77734375" hidden="1"/>
    <col min="2849" max="2849" width="9.44140625" hidden="1"/>
    <col min="2850" max="2856" width="8.77734375" hidden="1"/>
    <col min="2857" max="2857" width="11.77734375" hidden="1"/>
    <col min="2858" max="3079" width="8.77734375" hidden="1"/>
    <col min="3080" max="3080" width="2.5546875" hidden="1"/>
    <col min="3081" max="3081" width="4.21875" hidden="1"/>
    <col min="3082" max="3082" width="11.5546875" hidden="1"/>
    <col min="3083" max="3104" width="8.77734375" hidden="1"/>
    <col min="3105" max="3105" width="9.44140625" hidden="1"/>
    <col min="3106" max="3112" width="8.77734375" hidden="1"/>
    <col min="3113" max="3113" width="11.77734375" hidden="1"/>
    <col min="3114" max="3335" width="8.77734375" hidden="1"/>
    <col min="3336" max="3336" width="2.5546875" hidden="1"/>
    <col min="3337" max="3337" width="4.21875" hidden="1"/>
    <col min="3338" max="3338" width="11.5546875" hidden="1"/>
    <col min="3339" max="3360" width="8.77734375" hidden="1"/>
    <col min="3361" max="3361" width="9.44140625" hidden="1"/>
    <col min="3362" max="3368" width="8.77734375" hidden="1"/>
    <col min="3369" max="3369" width="11.77734375" hidden="1"/>
    <col min="3370" max="3591" width="8.77734375" hidden="1"/>
    <col min="3592" max="3592" width="2.5546875" hidden="1"/>
    <col min="3593" max="3593" width="4.21875" hidden="1"/>
    <col min="3594" max="3594" width="11.5546875" hidden="1"/>
    <col min="3595" max="3616" width="8.77734375" hidden="1"/>
    <col min="3617" max="3617" width="9.44140625" hidden="1"/>
    <col min="3618" max="3624" width="8.77734375" hidden="1"/>
    <col min="3625" max="3625" width="11.77734375" hidden="1"/>
    <col min="3626" max="3847" width="8.77734375" hidden="1"/>
    <col min="3848" max="3848" width="2.5546875" hidden="1"/>
    <col min="3849" max="3849" width="4.21875" hidden="1"/>
    <col min="3850" max="3850" width="11.5546875" hidden="1"/>
    <col min="3851" max="3872" width="8.77734375" hidden="1"/>
    <col min="3873" max="3873" width="9.44140625" hidden="1"/>
    <col min="3874" max="3880" width="8.77734375" hidden="1"/>
    <col min="3881" max="3881" width="11.77734375" hidden="1"/>
    <col min="3882" max="4103" width="8.77734375" hidden="1"/>
    <col min="4104" max="4104" width="2.5546875" hidden="1"/>
    <col min="4105" max="4105" width="4.21875" hidden="1"/>
    <col min="4106" max="4106" width="11.5546875" hidden="1"/>
    <col min="4107" max="4128" width="8.77734375" hidden="1"/>
    <col min="4129" max="4129" width="9.44140625" hidden="1"/>
    <col min="4130" max="4136" width="8.77734375" hidden="1"/>
    <col min="4137" max="4137" width="11.77734375" hidden="1"/>
    <col min="4138" max="4359" width="8.77734375" hidden="1"/>
    <col min="4360" max="4360" width="2.5546875" hidden="1"/>
    <col min="4361" max="4361" width="4.21875" hidden="1"/>
    <col min="4362" max="4362" width="11.5546875" hidden="1"/>
    <col min="4363" max="4384" width="8.77734375" hidden="1"/>
    <col min="4385" max="4385" width="9.44140625" hidden="1"/>
    <col min="4386" max="4392" width="8.77734375" hidden="1"/>
    <col min="4393" max="4393" width="11.77734375" hidden="1"/>
    <col min="4394" max="4615" width="8.77734375" hidden="1"/>
    <col min="4616" max="4616" width="2.5546875" hidden="1"/>
    <col min="4617" max="4617" width="4.21875" hidden="1"/>
    <col min="4618" max="4618" width="11.5546875" hidden="1"/>
    <col min="4619" max="4640" width="8.77734375" hidden="1"/>
    <col min="4641" max="4641" width="9.44140625" hidden="1"/>
    <col min="4642" max="4648" width="8.77734375" hidden="1"/>
    <col min="4649" max="4649" width="11.77734375" hidden="1"/>
    <col min="4650" max="4871" width="8.77734375" hidden="1"/>
    <col min="4872" max="4872" width="2.5546875" hidden="1"/>
    <col min="4873" max="4873" width="4.21875" hidden="1"/>
    <col min="4874" max="4874" width="11.5546875" hidden="1"/>
    <col min="4875" max="4896" width="8.77734375" hidden="1"/>
    <col min="4897" max="4897" width="9.44140625" hidden="1"/>
    <col min="4898" max="4904" width="8.77734375" hidden="1"/>
    <col min="4905" max="4905" width="11.77734375" hidden="1"/>
    <col min="4906" max="5127" width="8.77734375" hidden="1"/>
    <col min="5128" max="5128" width="2.5546875" hidden="1"/>
    <col min="5129" max="5129" width="4.21875" hidden="1"/>
    <col min="5130" max="5130" width="11.5546875" hidden="1"/>
    <col min="5131" max="5152" width="8.77734375" hidden="1"/>
    <col min="5153" max="5153" width="9.44140625" hidden="1"/>
    <col min="5154" max="5160" width="8.77734375" hidden="1"/>
    <col min="5161" max="5161" width="11.77734375" hidden="1"/>
    <col min="5162" max="5383" width="8.77734375" hidden="1"/>
    <col min="5384" max="5384" width="2.5546875" hidden="1"/>
    <col min="5385" max="5385" width="4.21875" hidden="1"/>
    <col min="5386" max="5386" width="11.5546875" hidden="1"/>
    <col min="5387" max="5408" width="8.77734375" hidden="1"/>
    <col min="5409" max="5409" width="9.44140625" hidden="1"/>
    <col min="5410" max="5416" width="8.77734375" hidden="1"/>
    <col min="5417" max="5417" width="11.77734375" hidden="1"/>
    <col min="5418" max="5639" width="8.77734375" hidden="1"/>
    <col min="5640" max="5640" width="2.5546875" hidden="1"/>
    <col min="5641" max="5641" width="4.21875" hidden="1"/>
    <col min="5642" max="5642" width="11.5546875" hidden="1"/>
    <col min="5643" max="5664" width="8.77734375" hidden="1"/>
    <col min="5665" max="5665" width="9.44140625" hidden="1"/>
    <col min="5666" max="5672" width="8.77734375" hidden="1"/>
    <col min="5673" max="5673" width="11.77734375" hidden="1"/>
    <col min="5674" max="5895" width="8.77734375" hidden="1"/>
    <col min="5896" max="5896" width="2.5546875" hidden="1"/>
    <col min="5897" max="5897" width="4.21875" hidden="1"/>
    <col min="5898" max="5898" width="11.5546875" hidden="1"/>
    <col min="5899" max="5920" width="8.77734375" hidden="1"/>
    <col min="5921" max="5921" width="9.44140625" hidden="1"/>
    <col min="5922" max="5928" width="8.77734375" hidden="1"/>
    <col min="5929" max="5929" width="11.77734375" hidden="1"/>
    <col min="5930" max="6151" width="8.77734375" hidden="1"/>
    <col min="6152" max="6152" width="2.5546875" hidden="1"/>
    <col min="6153" max="6153" width="4.21875" hidden="1"/>
    <col min="6154" max="6154" width="11.5546875" hidden="1"/>
    <col min="6155" max="6176" width="8.77734375" hidden="1"/>
    <col min="6177" max="6177" width="9.44140625" hidden="1"/>
    <col min="6178" max="6184" width="8.77734375" hidden="1"/>
    <col min="6185" max="6185" width="11.77734375" hidden="1"/>
    <col min="6186" max="6407" width="8.77734375" hidden="1"/>
    <col min="6408" max="6408" width="2.5546875" hidden="1"/>
    <col min="6409" max="6409" width="4.21875" hidden="1"/>
    <col min="6410" max="6410" width="11.5546875" hidden="1"/>
    <col min="6411" max="6432" width="8.77734375" hidden="1"/>
    <col min="6433" max="6433" width="9.44140625" hidden="1"/>
    <col min="6434" max="6440" width="8.77734375" hidden="1"/>
    <col min="6441" max="6441" width="11.77734375" hidden="1"/>
    <col min="6442" max="6663" width="8.77734375" hidden="1"/>
    <col min="6664" max="6664" width="2.5546875" hidden="1"/>
    <col min="6665" max="6665" width="4.21875" hidden="1"/>
    <col min="6666" max="6666" width="11.5546875" hidden="1"/>
    <col min="6667" max="6688" width="8.77734375" hidden="1"/>
    <col min="6689" max="6689" width="9.44140625" hidden="1"/>
    <col min="6690" max="6696" width="8.77734375" hidden="1"/>
    <col min="6697" max="6697" width="11.77734375" hidden="1"/>
    <col min="6698" max="6919" width="8.77734375" hidden="1"/>
    <col min="6920" max="6920" width="2.5546875" hidden="1"/>
    <col min="6921" max="6921" width="4.21875" hidden="1"/>
    <col min="6922" max="6922" width="11.5546875" hidden="1"/>
    <col min="6923" max="6944" width="8.77734375" hidden="1"/>
    <col min="6945" max="6945" width="9.44140625" hidden="1"/>
    <col min="6946" max="6952" width="8.77734375" hidden="1"/>
    <col min="6953" max="6953" width="11.77734375" hidden="1"/>
    <col min="6954" max="7175" width="8.77734375" hidden="1"/>
    <col min="7176" max="7176" width="2.5546875" hidden="1"/>
    <col min="7177" max="7177" width="4.21875" hidden="1"/>
    <col min="7178" max="7178" width="11.5546875" hidden="1"/>
    <col min="7179" max="7200" width="8.77734375" hidden="1"/>
    <col min="7201" max="7201" width="9.44140625" hidden="1"/>
    <col min="7202" max="7208" width="8.77734375" hidden="1"/>
    <col min="7209" max="7209" width="11.77734375" hidden="1"/>
    <col min="7210" max="7431" width="8.77734375" hidden="1"/>
    <col min="7432" max="7432" width="2.5546875" hidden="1"/>
    <col min="7433" max="7433" width="4.21875" hidden="1"/>
    <col min="7434" max="7434" width="11.5546875" hidden="1"/>
    <col min="7435" max="7456" width="8.77734375" hidden="1"/>
    <col min="7457" max="7457" width="9.44140625" hidden="1"/>
    <col min="7458" max="7464" width="8.77734375" hidden="1"/>
    <col min="7465" max="7465" width="11.77734375" hidden="1"/>
    <col min="7466" max="7687" width="8.77734375" hidden="1"/>
    <col min="7688" max="7688" width="2.5546875" hidden="1"/>
    <col min="7689" max="7689" width="4.21875" hidden="1"/>
    <col min="7690" max="7690" width="11.5546875" hidden="1"/>
    <col min="7691" max="7712" width="8.77734375" hidden="1"/>
    <col min="7713" max="7713" width="9.44140625" hidden="1"/>
    <col min="7714" max="7720" width="8.77734375" hidden="1"/>
    <col min="7721" max="7721" width="11.77734375" hidden="1"/>
    <col min="7722" max="7943" width="8.77734375" hidden="1"/>
    <col min="7944" max="7944" width="2.5546875" hidden="1"/>
    <col min="7945" max="7945" width="4.21875" hidden="1"/>
    <col min="7946" max="7946" width="11.5546875" hidden="1"/>
    <col min="7947" max="7968" width="8.77734375" hidden="1"/>
    <col min="7969" max="7969" width="9.44140625" hidden="1"/>
    <col min="7970" max="7976" width="8.77734375" hidden="1"/>
    <col min="7977" max="7977" width="11.77734375" hidden="1"/>
    <col min="7978" max="8199" width="8.77734375" hidden="1"/>
    <col min="8200" max="8200" width="2.5546875" hidden="1"/>
    <col min="8201" max="8201" width="4.21875" hidden="1"/>
    <col min="8202" max="8202" width="11.5546875" hidden="1"/>
    <col min="8203" max="8224" width="8.77734375" hidden="1"/>
    <col min="8225" max="8225" width="9.44140625" hidden="1"/>
    <col min="8226" max="8232" width="8.77734375" hidden="1"/>
    <col min="8233" max="8233" width="11.77734375" hidden="1"/>
    <col min="8234" max="8455" width="8.77734375" hidden="1"/>
    <col min="8456" max="8456" width="2.5546875" hidden="1"/>
    <col min="8457" max="8457" width="4.21875" hidden="1"/>
    <col min="8458" max="8458" width="11.5546875" hidden="1"/>
    <col min="8459" max="8480" width="8.77734375" hidden="1"/>
    <col min="8481" max="8481" width="9.44140625" hidden="1"/>
    <col min="8482" max="8488" width="8.77734375" hidden="1"/>
    <col min="8489" max="8489" width="11.77734375" hidden="1"/>
    <col min="8490" max="8711" width="8.77734375" hidden="1"/>
    <col min="8712" max="8712" width="2.5546875" hidden="1"/>
    <col min="8713" max="8713" width="4.21875" hidden="1"/>
    <col min="8714" max="8714" width="11.5546875" hidden="1"/>
    <col min="8715" max="8736" width="8.77734375" hidden="1"/>
    <col min="8737" max="8737" width="9.44140625" hidden="1"/>
    <col min="8738" max="8744" width="8.77734375" hidden="1"/>
    <col min="8745" max="8745" width="11.77734375" hidden="1"/>
    <col min="8746" max="8967" width="8.77734375" hidden="1"/>
    <col min="8968" max="8968" width="2.5546875" hidden="1"/>
    <col min="8969" max="8969" width="4.21875" hidden="1"/>
    <col min="8970" max="8970" width="11.5546875" hidden="1"/>
    <col min="8971" max="8992" width="8.77734375" hidden="1"/>
    <col min="8993" max="8993" width="9.44140625" hidden="1"/>
    <col min="8994" max="9000" width="8.77734375" hidden="1"/>
    <col min="9001" max="9001" width="11.77734375" hidden="1"/>
    <col min="9002" max="9223" width="8.77734375" hidden="1"/>
    <col min="9224" max="9224" width="2.5546875" hidden="1"/>
    <col min="9225" max="9225" width="4.21875" hidden="1"/>
    <col min="9226" max="9226" width="11.5546875" hidden="1"/>
    <col min="9227" max="9248" width="8.77734375" hidden="1"/>
    <col min="9249" max="9249" width="9.44140625" hidden="1"/>
    <col min="9250" max="9256" width="8.77734375" hidden="1"/>
    <col min="9257" max="9257" width="11.77734375" hidden="1"/>
    <col min="9258" max="9479" width="8.77734375" hidden="1"/>
    <col min="9480" max="9480" width="2.5546875" hidden="1"/>
    <col min="9481" max="9481" width="4.21875" hidden="1"/>
    <col min="9482" max="9482" width="11.5546875" hidden="1"/>
    <col min="9483" max="9504" width="8.77734375" hidden="1"/>
    <col min="9505" max="9505" width="9.44140625" hidden="1"/>
    <col min="9506" max="9512" width="8.77734375" hidden="1"/>
    <col min="9513" max="9513" width="11.77734375" hidden="1"/>
    <col min="9514" max="9735" width="8.77734375" hidden="1"/>
    <col min="9736" max="9736" width="2.5546875" hidden="1"/>
    <col min="9737" max="9737" width="4.21875" hidden="1"/>
    <col min="9738" max="9738" width="11.5546875" hidden="1"/>
    <col min="9739" max="9760" width="8.77734375" hidden="1"/>
    <col min="9761" max="9761" width="9.44140625" hidden="1"/>
    <col min="9762" max="9768" width="8.77734375" hidden="1"/>
    <col min="9769" max="9769" width="11.77734375" hidden="1"/>
    <col min="9770" max="9991" width="8.77734375" hidden="1"/>
    <col min="9992" max="9992" width="2.5546875" hidden="1"/>
    <col min="9993" max="9993" width="4.21875" hidden="1"/>
    <col min="9994" max="9994" width="11.5546875" hidden="1"/>
    <col min="9995" max="10016" width="8.77734375" hidden="1"/>
    <col min="10017" max="10017" width="9.44140625" hidden="1"/>
    <col min="10018" max="10024" width="8.77734375" hidden="1"/>
    <col min="10025" max="10025" width="11.77734375" hidden="1"/>
    <col min="10026" max="10247" width="8.77734375" hidden="1"/>
    <col min="10248" max="10248" width="2.5546875" hidden="1"/>
    <col min="10249" max="10249" width="4.21875" hidden="1"/>
    <col min="10250" max="10250" width="11.5546875" hidden="1"/>
    <col min="10251" max="10272" width="8.77734375" hidden="1"/>
    <col min="10273" max="10273" width="9.44140625" hidden="1"/>
    <col min="10274" max="10280" width="8.77734375" hidden="1"/>
    <col min="10281" max="10281" width="11.77734375" hidden="1"/>
    <col min="10282" max="10503" width="8.77734375" hidden="1"/>
    <col min="10504" max="10504" width="2.5546875" hidden="1"/>
    <col min="10505" max="10505" width="4.21875" hidden="1"/>
    <col min="10506" max="10506" width="11.5546875" hidden="1"/>
    <col min="10507" max="10528" width="8.77734375" hidden="1"/>
    <col min="10529" max="10529" width="9.44140625" hidden="1"/>
    <col min="10530" max="10536" width="8.77734375" hidden="1"/>
    <col min="10537" max="10537" width="11.77734375" hidden="1"/>
    <col min="10538" max="10759" width="8.77734375" hidden="1"/>
    <col min="10760" max="10760" width="2.5546875" hidden="1"/>
    <col min="10761" max="10761" width="4.21875" hidden="1"/>
    <col min="10762" max="10762" width="11.5546875" hidden="1"/>
    <col min="10763" max="10784" width="8.77734375" hidden="1"/>
    <col min="10785" max="10785" width="9.44140625" hidden="1"/>
    <col min="10786" max="10792" width="8.77734375" hidden="1"/>
    <col min="10793" max="10793" width="11.77734375" hidden="1"/>
    <col min="10794" max="11015" width="8.77734375" hidden="1"/>
    <col min="11016" max="11016" width="2.5546875" hidden="1"/>
    <col min="11017" max="11017" width="4.21875" hidden="1"/>
    <col min="11018" max="11018" width="11.5546875" hidden="1"/>
    <col min="11019" max="11040" width="8.77734375" hidden="1"/>
    <col min="11041" max="11041" width="9.44140625" hidden="1"/>
    <col min="11042" max="11048" width="8.77734375" hidden="1"/>
    <col min="11049" max="11049" width="11.77734375" hidden="1"/>
    <col min="11050" max="11271" width="8.77734375" hidden="1"/>
    <col min="11272" max="11272" width="2.5546875" hidden="1"/>
    <col min="11273" max="11273" width="4.21875" hidden="1"/>
    <col min="11274" max="11274" width="11.5546875" hidden="1"/>
    <col min="11275" max="11296" width="8.77734375" hidden="1"/>
    <col min="11297" max="11297" width="9.44140625" hidden="1"/>
    <col min="11298" max="11304" width="8.77734375" hidden="1"/>
    <col min="11305" max="11305" width="11.77734375" hidden="1"/>
    <col min="11306" max="11527" width="8.77734375" hidden="1"/>
    <col min="11528" max="11528" width="2.5546875" hidden="1"/>
    <col min="11529" max="11529" width="4.21875" hidden="1"/>
    <col min="11530" max="11530" width="11.5546875" hidden="1"/>
    <col min="11531" max="11552" width="8.77734375" hidden="1"/>
    <col min="11553" max="11553" width="9.44140625" hidden="1"/>
    <col min="11554" max="11560" width="8.77734375" hidden="1"/>
    <col min="11561" max="11561" width="11.77734375" hidden="1"/>
    <col min="11562" max="11783" width="8.77734375" hidden="1"/>
    <col min="11784" max="11784" width="2.5546875" hidden="1"/>
    <col min="11785" max="11785" width="4.21875" hidden="1"/>
    <col min="11786" max="11786" width="11.5546875" hidden="1"/>
    <col min="11787" max="11808" width="8.77734375" hidden="1"/>
    <col min="11809" max="11809" width="9.44140625" hidden="1"/>
    <col min="11810" max="11816" width="8.77734375" hidden="1"/>
    <col min="11817" max="11817" width="11.77734375" hidden="1"/>
    <col min="11818" max="12039" width="8.77734375" hidden="1"/>
    <col min="12040" max="12040" width="2.5546875" hidden="1"/>
    <col min="12041" max="12041" width="4.21875" hidden="1"/>
    <col min="12042" max="12042" width="11.5546875" hidden="1"/>
    <col min="12043" max="12064" width="8.77734375" hidden="1"/>
    <col min="12065" max="12065" width="9.44140625" hidden="1"/>
    <col min="12066" max="12072" width="8.77734375" hidden="1"/>
    <col min="12073" max="12073" width="11.77734375" hidden="1"/>
    <col min="12074" max="12295" width="8.77734375" hidden="1"/>
    <col min="12296" max="12296" width="2.5546875" hidden="1"/>
    <col min="12297" max="12297" width="4.21875" hidden="1"/>
    <col min="12298" max="12298" width="11.5546875" hidden="1"/>
    <col min="12299" max="12320" width="8.77734375" hidden="1"/>
    <col min="12321" max="12321" width="9.44140625" hidden="1"/>
    <col min="12322" max="12328" width="8.77734375" hidden="1"/>
    <col min="12329" max="12329" width="11.77734375" hidden="1"/>
    <col min="12330" max="12551" width="8.77734375" hidden="1"/>
    <col min="12552" max="12552" width="2.5546875" hidden="1"/>
    <col min="12553" max="12553" width="4.21875" hidden="1"/>
    <col min="12554" max="12554" width="11.5546875" hidden="1"/>
    <col min="12555" max="12576" width="8.77734375" hidden="1"/>
    <col min="12577" max="12577" width="9.44140625" hidden="1"/>
    <col min="12578" max="12584" width="8.77734375" hidden="1"/>
    <col min="12585" max="12585" width="11.77734375" hidden="1"/>
    <col min="12586" max="12807" width="8.77734375" hidden="1"/>
    <col min="12808" max="12808" width="2.5546875" hidden="1"/>
    <col min="12809" max="12809" width="4.21875" hidden="1"/>
    <col min="12810" max="12810" width="11.5546875" hidden="1"/>
    <col min="12811" max="12832" width="8.77734375" hidden="1"/>
    <col min="12833" max="12833" width="9.44140625" hidden="1"/>
    <col min="12834" max="12840" width="8.77734375" hidden="1"/>
    <col min="12841" max="12841" width="11.77734375" hidden="1"/>
    <col min="12842" max="13063" width="8.77734375" hidden="1"/>
    <col min="13064" max="13064" width="2.5546875" hidden="1"/>
    <col min="13065" max="13065" width="4.21875" hidden="1"/>
    <col min="13066" max="13066" width="11.5546875" hidden="1"/>
    <col min="13067" max="13088" width="8.77734375" hidden="1"/>
    <col min="13089" max="13089" width="9.44140625" hidden="1"/>
    <col min="13090" max="13096" width="8.77734375" hidden="1"/>
    <col min="13097" max="13097" width="11.77734375" hidden="1"/>
    <col min="13098" max="13319" width="8.77734375" hidden="1"/>
    <col min="13320" max="13320" width="2.5546875" hidden="1"/>
    <col min="13321" max="13321" width="4.21875" hidden="1"/>
    <col min="13322" max="13322" width="11.5546875" hidden="1"/>
    <col min="13323" max="13344" width="8.77734375" hidden="1"/>
    <col min="13345" max="13345" width="9.44140625" hidden="1"/>
    <col min="13346" max="13352" width="8.77734375" hidden="1"/>
    <col min="13353" max="13353" width="11.77734375" hidden="1"/>
    <col min="13354" max="13575" width="8.77734375" hidden="1"/>
    <col min="13576" max="13576" width="2.5546875" hidden="1"/>
    <col min="13577" max="13577" width="4.21875" hidden="1"/>
    <col min="13578" max="13578" width="11.5546875" hidden="1"/>
    <col min="13579" max="13600" width="8.77734375" hidden="1"/>
    <col min="13601" max="13601" width="9.44140625" hidden="1"/>
    <col min="13602" max="13608" width="8.77734375" hidden="1"/>
    <col min="13609" max="13609" width="11.77734375" hidden="1"/>
    <col min="13610" max="13831" width="8.77734375" hidden="1"/>
    <col min="13832" max="13832" width="2.5546875" hidden="1"/>
    <col min="13833" max="13833" width="4.21875" hidden="1"/>
    <col min="13834" max="13834" width="11.5546875" hidden="1"/>
    <col min="13835" max="13856" width="8.77734375" hidden="1"/>
    <col min="13857" max="13857" width="9.44140625" hidden="1"/>
    <col min="13858" max="13864" width="8.77734375" hidden="1"/>
    <col min="13865" max="13865" width="11.77734375" hidden="1"/>
    <col min="13866" max="14087" width="8.77734375" hidden="1"/>
    <col min="14088" max="14088" width="2.5546875" hidden="1"/>
    <col min="14089" max="14089" width="4.21875" hidden="1"/>
    <col min="14090" max="14090" width="11.5546875" hidden="1"/>
    <col min="14091" max="14112" width="8.77734375" hidden="1"/>
    <col min="14113" max="14113" width="9.44140625" hidden="1"/>
    <col min="14114" max="14120" width="8.77734375" hidden="1"/>
    <col min="14121" max="14121" width="11.77734375" hidden="1"/>
    <col min="14122" max="14343" width="8.77734375" hidden="1"/>
    <col min="14344" max="14344" width="2.5546875" hidden="1"/>
    <col min="14345" max="14345" width="4.21875" hidden="1"/>
    <col min="14346" max="14346" width="11.5546875" hidden="1"/>
    <col min="14347" max="14368" width="8.77734375" hidden="1"/>
    <col min="14369" max="14369" width="9.44140625" hidden="1"/>
    <col min="14370" max="14376" width="8.77734375" hidden="1"/>
    <col min="14377" max="14377" width="11.77734375" hidden="1"/>
    <col min="14378" max="14599" width="8.77734375" hidden="1"/>
    <col min="14600" max="14600" width="2.5546875" hidden="1"/>
    <col min="14601" max="14601" width="4.21875" hidden="1"/>
    <col min="14602" max="14602" width="11.5546875" hidden="1"/>
    <col min="14603" max="14624" width="8.77734375" hidden="1"/>
    <col min="14625" max="14625" width="9.44140625" hidden="1"/>
    <col min="14626" max="14632" width="8.77734375" hidden="1"/>
    <col min="14633" max="14633" width="11.77734375" hidden="1"/>
    <col min="14634" max="14855" width="8.77734375" hidden="1"/>
    <col min="14856" max="14856" width="2.5546875" hidden="1"/>
    <col min="14857" max="14857" width="4.21875" hidden="1"/>
    <col min="14858" max="14858" width="11.5546875" hidden="1"/>
    <col min="14859" max="14880" width="8.77734375" hidden="1"/>
    <col min="14881" max="14881" width="9.44140625" hidden="1"/>
    <col min="14882" max="14888" width="8.77734375" hidden="1"/>
    <col min="14889" max="14889" width="11.77734375" hidden="1"/>
    <col min="14890" max="15111" width="8.77734375" hidden="1"/>
    <col min="15112" max="15112" width="2.5546875" hidden="1"/>
    <col min="15113" max="15113" width="4.21875" hidden="1"/>
    <col min="15114" max="15114" width="11.5546875" hidden="1"/>
    <col min="15115" max="15136" width="8.77734375" hidden="1"/>
    <col min="15137" max="15137" width="9.44140625" hidden="1"/>
    <col min="15138" max="15144" width="8.77734375" hidden="1"/>
    <col min="15145" max="15145" width="11.77734375" hidden="1"/>
    <col min="15146" max="15367" width="8.77734375" hidden="1"/>
    <col min="15368" max="15368" width="2.5546875" hidden="1"/>
    <col min="15369" max="15369" width="4.21875" hidden="1"/>
    <col min="15370" max="15370" width="11.5546875" hidden="1"/>
    <col min="15371" max="15392" width="8.77734375" hidden="1"/>
    <col min="15393" max="15393" width="9.44140625" hidden="1"/>
    <col min="15394" max="15400" width="8.77734375" hidden="1"/>
    <col min="15401" max="15401" width="11.77734375" hidden="1"/>
    <col min="15402" max="15623" width="8.77734375" hidden="1"/>
    <col min="15624" max="15624" width="2.5546875" hidden="1"/>
    <col min="15625" max="15625" width="4.21875" hidden="1"/>
    <col min="15626" max="15626" width="11.5546875" hidden="1"/>
    <col min="15627" max="15648" width="8.77734375" hidden="1"/>
    <col min="15649" max="15649" width="9.44140625" hidden="1"/>
    <col min="15650" max="15656" width="8.77734375" hidden="1"/>
    <col min="15657" max="15657" width="11.77734375" hidden="1"/>
    <col min="15658" max="15879" width="8.77734375" hidden="1"/>
    <col min="15880" max="15880" width="2.5546875" hidden="1"/>
    <col min="15881" max="15881" width="4.21875" hidden="1"/>
    <col min="15882" max="15882" width="11.5546875" hidden="1"/>
    <col min="15883" max="15904" width="8.77734375" hidden="1"/>
    <col min="15905" max="15905" width="9.44140625" hidden="1"/>
    <col min="15906" max="15912" width="8.77734375" hidden="1"/>
    <col min="15913" max="15913" width="11.77734375" hidden="1"/>
    <col min="15914" max="16135" width="8.77734375" hidden="1"/>
    <col min="16136" max="16136" width="2.5546875" hidden="1"/>
    <col min="16137" max="16137" width="4.21875" hidden="1"/>
    <col min="16138" max="16138" width="11.5546875" hidden="1"/>
    <col min="16139" max="16160" width="8.77734375" hidden="1"/>
    <col min="16161" max="16161" width="9.44140625" hidden="1"/>
    <col min="16162" max="16168" width="8.77734375" hidden="1"/>
    <col min="16169" max="16169" width="11.77734375" hidden="1"/>
    <col min="16170" max="16384" width="8.77734375" hidden="1"/>
  </cols>
  <sheetData>
    <row r="1" spans="1:45" ht="32.1" customHeight="1">
      <c r="A1" s="126"/>
      <c r="B1" s="140"/>
      <c r="C1" s="140"/>
      <c r="D1" s="140"/>
      <c r="E1" s="807"/>
      <c r="F1" s="807"/>
      <c r="G1" s="807"/>
      <c r="H1" s="807"/>
      <c r="I1" s="807"/>
      <c r="J1" s="807"/>
      <c r="K1" s="807"/>
      <c r="L1" s="807"/>
      <c r="M1" s="140"/>
      <c r="N1" s="140"/>
      <c r="O1" s="817" t="s">
        <v>521</v>
      </c>
      <c r="P1" s="817"/>
      <c r="Q1" s="817"/>
      <c r="R1" s="817"/>
      <c r="S1" s="817"/>
      <c r="T1" s="817"/>
      <c r="U1" s="817"/>
      <c r="V1" s="817"/>
      <c r="W1" s="817"/>
      <c r="X1" s="817"/>
      <c r="Y1" s="817"/>
      <c r="Z1" s="817"/>
      <c r="AA1" s="817"/>
      <c r="AB1" s="817"/>
      <c r="AC1" s="817"/>
      <c r="AD1" s="817"/>
      <c r="AE1" s="817"/>
      <c r="AF1" s="169"/>
      <c r="AG1" s="127"/>
      <c r="AH1" s="127"/>
      <c r="AI1" s="127"/>
      <c r="AJ1" s="127"/>
      <c r="AO1" s="127" t="s">
        <v>442</v>
      </c>
      <c r="AP1" s="127"/>
      <c r="AQ1" s="127"/>
      <c r="AR1" s="127"/>
      <c r="AS1" s="127"/>
    </row>
    <row r="2" spans="1:45" ht="14.1" customHeight="1" thickBot="1">
      <c r="A2" s="126"/>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129"/>
      <c r="AG2" s="127"/>
      <c r="AH2" s="127"/>
      <c r="AI2" s="127"/>
      <c r="AJ2" s="127"/>
      <c r="AO2" s="127" t="s">
        <v>443</v>
      </c>
      <c r="AP2" s="127"/>
      <c r="AQ2" s="127"/>
      <c r="AR2" s="127" t="s">
        <v>428</v>
      </c>
      <c r="AS2" s="127"/>
    </row>
    <row r="3" spans="1:45" s="360" customFormat="1" ht="45" customHeight="1" thickBot="1">
      <c r="A3" s="361"/>
      <c r="B3" s="809" t="str">
        <f>Master!AI3</f>
        <v>OFFICE OF THE  GOVT SENIOR SECONDARY SCHOOL RAJPURA PIPERAN,SRI GANGANAGAR</v>
      </c>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1"/>
      <c r="AF3" s="362"/>
      <c r="AG3" s="359"/>
      <c r="AH3" s="359"/>
      <c r="AI3" s="359"/>
      <c r="AJ3" s="359"/>
      <c r="AO3" s="359" t="s">
        <v>444</v>
      </c>
      <c r="AP3" s="359"/>
      <c r="AQ3" s="359"/>
      <c r="AR3" s="359" t="s">
        <v>96</v>
      </c>
      <c r="AS3" s="359"/>
    </row>
    <row r="4" spans="1:45" ht="23.55" customHeight="1" thickTop="1" thickBot="1">
      <c r="A4" s="173"/>
      <c r="B4" s="812" t="str">
        <f>Master!AI4</f>
        <v xml:space="preserve"> SALARY STATEMENT FOR FINANCIAL YEAR 2024-25</v>
      </c>
      <c r="C4" s="812"/>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160"/>
      <c r="AG4" s="127"/>
      <c r="AH4" s="127"/>
      <c r="AI4" s="127"/>
      <c r="AJ4" s="127"/>
      <c r="AO4" s="127" t="s">
        <v>445</v>
      </c>
      <c r="AP4" s="127"/>
      <c r="AQ4" s="127"/>
      <c r="AR4" s="127" t="s">
        <v>429</v>
      </c>
      <c r="AS4" s="127"/>
    </row>
    <row r="5" spans="1:45" ht="26.55" customHeight="1" thickTop="1" thickBot="1">
      <c r="A5" s="174"/>
      <c r="B5" s="813" t="s">
        <v>430</v>
      </c>
      <c r="C5" s="813"/>
      <c r="D5" s="813"/>
      <c r="E5" s="813"/>
      <c r="F5" s="814" t="str">
        <f>IF('Gen Info'!C5="","",'Gen Info'!C5)</f>
        <v>HANS RAJ JOSHI</v>
      </c>
      <c r="G5" s="814"/>
      <c r="H5" s="814"/>
      <c r="I5" s="814"/>
      <c r="J5" s="814"/>
      <c r="K5" s="814"/>
      <c r="L5" s="823" t="s">
        <v>266</v>
      </c>
      <c r="M5" s="823"/>
      <c r="N5" s="823"/>
      <c r="O5" s="815" t="str">
        <f>IF('Gen Info'!$C$6="","",'Gen Info'!$C$6)</f>
        <v>Principal</v>
      </c>
      <c r="P5" s="815"/>
      <c r="Q5" s="815"/>
      <c r="R5" s="815"/>
      <c r="S5" s="818" t="s">
        <v>260</v>
      </c>
      <c r="T5" s="818"/>
      <c r="U5" s="819" t="str">
        <f>IF('Gen Info'!F6="","",'Gen Info'!F6)</f>
        <v>GOVT SENIOR SECONDARY SCHOOL RAJPURA PIPERAN,SRI GANGANAGAR</v>
      </c>
      <c r="V5" s="820"/>
      <c r="W5" s="820"/>
      <c r="X5" s="820"/>
      <c r="Y5" s="820"/>
      <c r="Z5" s="820"/>
      <c r="AA5" s="821"/>
      <c r="AB5" s="627" t="s">
        <v>466</v>
      </c>
      <c r="AC5" s="816" t="str">
        <f>IF('Gen Info'!F8="","",'Gen Info'!F8)</f>
        <v/>
      </c>
      <c r="AD5" s="816"/>
      <c r="AE5" s="400"/>
      <c r="AF5" s="161"/>
      <c r="AG5" s="127"/>
      <c r="AH5" s="127"/>
      <c r="AI5" s="127"/>
      <c r="AJ5" s="127"/>
      <c r="AO5" s="127" t="s">
        <v>446</v>
      </c>
      <c r="AP5" s="127"/>
      <c r="AQ5" s="127"/>
      <c r="AR5" s="127" t="s">
        <v>432</v>
      </c>
      <c r="AS5" s="127"/>
    </row>
    <row r="6" spans="1:45" ht="23.1" customHeight="1" thickTop="1" thickBot="1">
      <c r="A6" s="173"/>
      <c r="B6" s="401" t="s">
        <v>467</v>
      </c>
      <c r="C6" s="402"/>
      <c r="D6" s="800" t="str">
        <f>IF('Gen Info'!F5="","",'Gen Info'!F5)</f>
        <v>RJGA999999999999</v>
      </c>
      <c r="E6" s="801"/>
      <c r="F6" s="801"/>
      <c r="G6" s="802"/>
      <c r="H6" s="403" t="s">
        <v>447</v>
      </c>
      <c r="I6" s="815" t="str">
        <f>IF('Gen Info'!C7="","",'Gen Info'!C7)</f>
        <v>State Service</v>
      </c>
      <c r="J6" s="815"/>
      <c r="K6" s="815"/>
      <c r="L6" s="804" t="s">
        <v>463</v>
      </c>
      <c r="M6" s="804"/>
      <c r="N6" s="800" t="str">
        <f>IF('Gen Info'!C12="","",IF('Gen Info'!C12="Yes","Probationary","Regular"))</f>
        <v>Regular</v>
      </c>
      <c r="O6" s="801"/>
      <c r="P6" s="801"/>
      <c r="Q6" s="801"/>
      <c r="R6" s="802"/>
      <c r="S6" s="805" t="s">
        <v>431</v>
      </c>
      <c r="T6" s="805"/>
      <c r="U6" s="806" t="str">
        <f>IF('Gen Info'!C9="","",'Gen Info'!C9)</f>
        <v>XXXXX1234X</v>
      </c>
      <c r="V6" s="806"/>
      <c r="W6" s="806"/>
      <c r="X6" s="806"/>
      <c r="Y6" s="799" t="s">
        <v>448</v>
      </c>
      <c r="Z6" s="799"/>
      <c r="AA6" s="834" t="str">
        <f>IF('Gen Info'!F7="","",'Gen Info'!F7)</f>
        <v>L-16</v>
      </c>
      <c r="AB6" s="835"/>
      <c r="AC6" s="406" t="s">
        <v>449</v>
      </c>
      <c r="AD6" s="404">
        <f>Master!$AH$10</f>
        <v>0</v>
      </c>
      <c r="AE6" s="405"/>
      <c r="AF6" s="162"/>
      <c r="AG6" s="127"/>
      <c r="AH6" s="127"/>
      <c r="AR6" s="127" t="s">
        <v>433</v>
      </c>
      <c r="AS6" s="127"/>
    </row>
    <row r="7" spans="1:45" ht="17.55" customHeight="1" thickTop="1" thickBot="1">
      <c r="A7" s="173"/>
      <c r="B7" s="829" t="s">
        <v>504</v>
      </c>
      <c r="C7" s="829"/>
      <c r="D7" s="829"/>
      <c r="E7" s="829"/>
      <c r="F7" s="829"/>
      <c r="G7" s="829"/>
      <c r="H7" s="829"/>
      <c r="I7" s="829"/>
      <c r="J7" s="829"/>
      <c r="K7" s="829"/>
      <c r="L7" s="829"/>
      <c r="M7" s="830" t="s">
        <v>238</v>
      </c>
      <c r="N7" s="830"/>
      <c r="O7" s="830"/>
      <c r="P7" s="830"/>
      <c r="Q7" s="830"/>
      <c r="R7" s="830"/>
      <c r="S7" s="830"/>
      <c r="T7" s="830"/>
      <c r="U7" s="830"/>
      <c r="V7" s="830"/>
      <c r="W7" s="830"/>
      <c r="X7" s="830"/>
      <c r="Y7" s="830"/>
      <c r="Z7" s="830"/>
      <c r="AA7" s="830"/>
      <c r="AB7" s="830"/>
      <c r="AC7" s="830"/>
      <c r="AD7" s="830"/>
      <c r="AE7" s="830"/>
      <c r="AF7" s="163"/>
      <c r="AG7" s="127"/>
      <c r="AH7" s="127"/>
      <c r="AR7" s="127"/>
      <c r="AS7" s="127"/>
    </row>
    <row r="8" spans="1:45" ht="89.1" customHeight="1" thickTop="1" thickBot="1">
      <c r="A8" s="175"/>
      <c r="B8" s="407" t="s">
        <v>507</v>
      </c>
      <c r="C8" s="407" t="s">
        <v>160</v>
      </c>
      <c r="D8" s="407" t="s">
        <v>455</v>
      </c>
      <c r="E8" s="407" t="s">
        <v>121</v>
      </c>
      <c r="F8" s="407" t="s">
        <v>103</v>
      </c>
      <c r="G8" s="408" t="s">
        <v>96</v>
      </c>
      <c r="H8" s="409" t="s">
        <v>97</v>
      </c>
      <c r="I8" s="410" t="s">
        <v>432</v>
      </c>
      <c r="J8" s="410" t="str">
        <f>IF('Gen Info'!F13="YES","NPA","ANY OTHER")</f>
        <v>ANY OTHER</v>
      </c>
      <c r="K8" s="410" t="str">
        <f>IF('Gen Info'!C11="YES","Govt.NPS","ANY OTHER")</f>
        <v>ANY OTHER</v>
      </c>
      <c r="L8" s="407" t="s">
        <v>239</v>
      </c>
      <c r="M8" s="412" t="str">
        <f>IF('Gen Info'!C11="","",IF('Gen Info'!C11="YES","GPF-2004","GPF"))</f>
        <v>GPF</v>
      </c>
      <c r="N8" s="412"/>
      <c r="O8" s="412" t="s">
        <v>1</v>
      </c>
      <c r="P8" s="413" t="s">
        <v>230</v>
      </c>
      <c r="Q8" s="413" t="s">
        <v>229</v>
      </c>
      <c r="R8" s="414" t="s">
        <v>434</v>
      </c>
      <c r="S8" s="414" t="s">
        <v>435</v>
      </c>
      <c r="T8" s="414" t="s">
        <v>2</v>
      </c>
      <c r="U8" s="412" t="s">
        <v>615</v>
      </c>
      <c r="V8" s="412" t="s">
        <v>3</v>
      </c>
      <c r="W8" s="415" t="s">
        <v>436</v>
      </c>
      <c r="X8" s="416" t="s">
        <v>437</v>
      </c>
      <c r="Y8" s="417" t="s">
        <v>433</v>
      </c>
      <c r="Z8" s="411" t="str">
        <f>K8</f>
        <v>ANY OTHER</v>
      </c>
      <c r="AA8" s="411" t="s">
        <v>602</v>
      </c>
      <c r="AB8" s="418" t="s">
        <v>438</v>
      </c>
      <c r="AC8" s="412" t="s">
        <v>439</v>
      </c>
      <c r="AD8" s="412" t="s">
        <v>440</v>
      </c>
      <c r="AE8" s="412" t="s">
        <v>441</v>
      </c>
      <c r="AF8" s="164"/>
      <c r="AG8" s="127"/>
      <c r="AH8" s="127"/>
      <c r="AR8" s="127"/>
      <c r="AS8" s="127"/>
    </row>
    <row r="9" spans="1:45" ht="15.6" thickTop="1" thickBot="1">
      <c r="A9" s="173"/>
      <c r="B9" s="419">
        <v>1</v>
      </c>
      <c r="C9" s="419">
        <v>2</v>
      </c>
      <c r="D9" s="420">
        <v>3</v>
      </c>
      <c r="E9" s="420">
        <v>4</v>
      </c>
      <c r="F9" s="419">
        <v>5</v>
      </c>
      <c r="G9" s="420">
        <v>6</v>
      </c>
      <c r="H9" s="420">
        <v>7</v>
      </c>
      <c r="I9" s="420">
        <v>8</v>
      </c>
      <c r="J9" s="420">
        <v>9</v>
      </c>
      <c r="K9" s="420">
        <v>10</v>
      </c>
      <c r="L9" s="420">
        <v>11</v>
      </c>
      <c r="M9" s="420">
        <v>12</v>
      </c>
      <c r="N9" s="420">
        <v>13</v>
      </c>
      <c r="O9" s="420">
        <v>14</v>
      </c>
      <c r="P9" s="420">
        <v>15</v>
      </c>
      <c r="Q9" s="420">
        <v>16</v>
      </c>
      <c r="R9" s="420">
        <v>17</v>
      </c>
      <c r="S9" s="420">
        <v>18</v>
      </c>
      <c r="T9" s="420">
        <f>Master!BA9</f>
        <v>0</v>
      </c>
      <c r="U9" s="420">
        <v>20</v>
      </c>
      <c r="V9" s="420">
        <v>21</v>
      </c>
      <c r="W9" s="420">
        <v>22</v>
      </c>
      <c r="X9" s="420">
        <v>23</v>
      </c>
      <c r="Y9" s="420">
        <v>24</v>
      </c>
      <c r="Z9" s="420"/>
      <c r="AA9" s="420"/>
      <c r="AB9" s="420">
        <v>25</v>
      </c>
      <c r="AC9" s="420">
        <v>26</v>
      </c>
      <c r="AD9" s="420">
        <v>27</v>
      </c>
      <c r="AE9" s="420">
        <v>28</v>
      </c>
      <c r="AF9" s="165"/>
      <c r="AG9" s="127"/>
      <c r="AH9" s="127"/>
    </row>
    <row r="10" spans="1:45" ht="34.5" customHeight="1" thickTop="1" thickBot="1">
      <c r="A10" s="173"/>
      <c r="B10" s="423">
        <v>1</v>
      </c>
      <c r="C10" s="424">
        <v>44986</v>
      </c>
      <c r="D10" s="425">
        <f>Master!AK10</f>
        <v>0</v>
      </c>
      <c r="E10" s="426">
        <f>Master!D7</f>
        <v>0</v>
      </c>
      <c r="F10" s="426">
        <f>Master!E7</f>
        <v>0</v>
      </c>
      <c r="G10" s="425">
        <f>Master!$H$5</f>
        <v>0</v>
      </c>
      <c r="H10" s="425"/>
      <c r="I10" s="425"/>
      <c r="J10" s="425">
        <f>Master!H7</f>
        <v>0</v>
      </c>
      <c r="K10" s="425">
        <f>Master!U7</f>
        <v>0</v>
      </c>
      <c r="L10" s="427">
        <f>ROUND((D10+E10+F10+G10+H10+I10+J10+K10),0)</f>
        <v>0</v>
      </c>
      <c r="M10" s="426" t="str">
        <f>Master!S7</f>
        <v>0</v>
      </c>
      <c r="N10" s="426"/>
      <c r="O10" s="426">
        <f>Master!T7</f>
        <v>7000</v>
      </c>
      <c r="P10" s="425"/>
      <c r="Q10" s="425"/>
      <c r="R10" s="425"/>
      <c r="S10" s="425"/>
      <c r="T10" s="443">
        <f>Master!T3</f>
        <v>469</v>
      </c>
      <c r="U10" s="429">
        <f>Master!P7</f>
        <v>0</v>
      </c>
      <c r="V10" s="429"/>
      <c r="W10" s="430">
        <f>Master!W21</f>
        <v>0</v>
      </c>
      <c r="X10" s="425">
        <f>Master!K7</f>
        <v>13000</v>
      </c>
      <c r="Y10" s="425"/>
      <c r="Z10" s="425">
        <f>IF(K10="",0,K10)</f>
        <v>0</v>
      </c>
      <c r="AA10" s="425"/>
      <c r="AB10" s="431">
        <f>M10+N10+O10+P10+Q10+R10+S10+T10+U10+V10+W10+X10+Y10+Z10</f>
        <v>20469</v>
      </c>
      <c r="AC10" s="432">
        <f>L10-AB10</f>
        <v>-20469</v>
      </c>
      <c r="AD10" s="433"/>
      <c r="AE10" s="433"/>
      <c r="AF10" s="166"/>
      <c r="AG10" s="127"/>
      <c r="AH10" s="127"/>
      <c r="AK10" s="831" t="s">
        <v>146</v>
      </c>
      <c r="AL10" s="832"/>
      <c r="AM10" s="832"/>
      <c r="AN10" s="833"/>
    </row>
    <row r="11" spans="1:45" ht="34.5" customHeight="1" thickTop="1" thickBot="1">
      <c r="A11" s="173"/>
      <c r="B11" s="423">
        <v>2</v>
      </c>
      <c r="C11" s="424">
        <v>45017</v>
      </c>
      <c r="D11" s="425">
        <f>Master!AH11</f>
        <v>0</v>
      </c>
      <c r="E11" s="426">
        <f>Master!D8</f>
        <v>0</v>
      </c>
      <c r="F11" s="426">
        <f>Master!E8</f>
        <v>0</v>
      </c>
      <c r="G11" s="425">
        <f>Master!G8</f>
        <v>0</v>
      </c>
      <c r="H11" s="425"/>
      <c r="I11" s="425"/>
      <c r="J11" s="425">
        <f>Master!H8</f>
        <v>0</v>
      </c>
      <c r="K11" s="425">
        <f>Master!U8</f>
        <v>0</v>
      </c>
      <c r="L11" s="427">
        <f t="shared" ref="L11:L29" si="0">ROUND((D11+E11+F11+G11+H11+I11+J11+K11),0)</f>
        <v>0</v>
      </c>
      <c r="M11" s="426" t="str">
        <f>Master!S8</f>
        <v>0</v>
      </c>
      <c r="N11" s="426"/>
      <c r="O11" s="426">
        <f>Master!T8</f>
        <v>7000</v>
      </c>
      <c r="P11" s="425"/>
      <c r="Q11" s="425"/>
      <c r="R11" s="425"/>
      <c r="S11" s="425"/>
      <c r="T11" s="428">
        <f t="shared" ref="T11:T20" si="1">T10</f>
        <v>469</v>
      </c>
      <c r="U11" s="429">
        <f>Master!P8</f>
        <v>0</v>
      </c>
      <c r="V11" s="430">
        <f>Deductions!Q6</f>
        <v>2100</v>
      </c>
      <c r="W11" s="430"/>
      <c r="X11" s="425">
        <f>Master!K8</f>
        <v>13000</v>
      </c>
      <c r="Y11" s="425">
        <f t="shared" ref="Y11:Y21" si="2">Y10</f>
        <v>0</v>
      </c>
      <c r="Z11" s="425">
        <f t="shared" ref="Z11:Z28" si="3">IF(K11="",0,K11)</f>
        <v>0</v>
      </c>
      <c r="AA11" s="425"/>
      <c r="AB11" s="431">
        <f t="shared" ref="AB11:AB16" si="4">M11+N11+O11+P11+Q11+R11+S11+T11+U11+V11+W11+X11+Y11+Z11</f>
        <v>22569</v>
      </c>
      <c r="AC11" s="432">
        <f t="shared" ref="AC11:AC29" si="5">L11-AB11</f>
        <v>-22569</v>
      </c>
      <c r="AD11" s="444"/>
      <c r="AE11" s="433"/>
      <c r="AF11" s="166"/>
      <c r="AG11" s="127"/>
      <c r="AH11" s="127"/>
      <c r="AK11" s="824" t="s">
        <v>147</v>
      </c>
      <c r="AL11" s="825"/>
      <c r="AM11" s="141">
        <v>43160</v>
      </c>
      <c r="AN11" s="142">
        <v>43891</v>
      </c>
    </row>
    <row r="12" spans="1:45" ht="34.5" customHeight="1" thickTop="1" thickBot="1">
      <c r="A12" s="173"/>
      <c r="B12" s="423">
        <v>3</v>
      </c>
      <c r="C12" s="424">
        <v>45047</v>
      </c>
      <c r="D12" s="425">
        <f>Master!AH12</f>
        <v>0</v>
      </c>
      <c r="E12" s="426">
        <f>Master!D9</f>
        <v>0</v>
      </c>
      <c r="F12" s="426">
        <f>Master!E9</f>
        <v>0</v>
      </c>
      <c r="G12" s="425">
        <f>Master!G9</f>
        <v>0</v>
      </c>
      <c r="H12" s="425"/>
      <c r="I12" s="425"/>
      <c r="J12" s="425">
        <f>Master!H9</f>
        <v>0</v>
      </c>
      <c r="K12" s="425">
        <f>Master!U9</f>
        <v>0</v>
      </c>
      <c r="L12" s="427">
        <f t="shared" si="0"/>
        <v>0</v>
      </c>
      <c r="M12" s="426" t="str">
        <f>Master!S9</f>
        <v>0</v>
      </c>
      <c r="N12" s="426"/>
      <c r="O12" s="426">
        <f>Master!T9</f>
        <v>7000</v>
      </c>
      <c r="P12" s="425"/>
      <c r="Q12" s="425"/>
      <c r="R12" s="425"/>
      <c r="S12" s="425"/>
      <c r="T12" s="428">
        <f t="shared" si="1"/>
        <v>469</v>
      </c>
      <c r="U12" s="429">
        <f>Master!P9</f>
        <v>0</v>
      </c>
      <c r="V12" s="429"/>
      <c r="W12" s="430"/>
      <c r="X12" s="425">
        <f>Master!K9</f>
        <v>13000</v>
      </c>
      <c r="Y12" s="425">
        <f t="shared" si="2"/>
        <v>0</v>
      </c>
      <c r="Z12" s="425">
        <f t="shared" si="3"/>
        <v>0</v>
      </c>
      <c r="AA12" s="425"/>
      <c r="AB12" s="431">
        <f t="shared" si="4"/>
        <v>20469</v>
      </c>
      <c r="AC12" s="432">
        <f t="shared" si="5"/>
        <v>-20469</v>
      </c>
      <c r="AD12" s="433"/>
      <c r="AE12" s="433"/>
      <c r="AF12" s="166"/>
      <c r="AG12" s="127"/>
      <c r="AH12" s="127"/>
      <c r="AK12" s="824" t="s">
        <v>148</v>
      </c>
      <c r="AL12" s="825"/>
      <c r="AM12" s="143">
        <v>500</v>
      </c>
      <c r="AN12" s="144">
        <v>800</v>
      </c>
    </row>
    <row r="13" spans="1:45" ht="34.5" customHeight="1" thickTop="1" thickBot="1">
      <c r="A13" s="173"/>
      <c r="B13" s="423">
        <v>4</v>
      </c>
      <c r="C13" s="424">
        <v>45078</v>
      </c>
      <c r="D13" s="425">
        <f>Master!AH13</f>
        <v>0</v>
      </c>
      <c r="E13" s="426">
        <f>Master!D10</f>
        <v>0</v>
      </c>
      <c r="F13" s="426">
        <f>Master!E10</f>
        <v>0</v>
      </c>
      <c r="G13" s="425">
        <f>Master!G10</f>
        <v>0</v>
      </c>
      <c r="H13" s="425"/>
      <c r="I13" s="425"/>
      <c r="J13" s="425">
        <f>Master!H10</f>
        <v>0</v>
      </c>
      <c r="K13" s="425">
        <f>Master!U10</f>
        <v>0</v>
      </c>
      <c r="L13" s="427">
        <f t="shared" si="0"/>
        <v>0</v>
      </c>
      <c r="M13" s="426" t="str">
        <f>Master!S10</f>
        <v>0</v>
      </c>
      <c r="N13" s="426"/>
      <c r="O13" s="426">
        <f>Master!T10</f>
        <v>7000</v>
      </c>
      <c r="P13" s="425"/>
      <c r="Q13" s="425"/>
      <c r="R13" s="425"/>
      <c r="S13" s="425"/>
      <c r="T13" s="428">
        <f t="shared" si="1"/>
        <v>469</v>
      </c>
      <c r="U13" s="429">
        <f>Master!P10</f>
        <v>0</v>
      </c>
      <c r="V13" s="429"/>
      <c r="W13" s="430"/>
      <c r="X13" s="425">
        <f>Master!K10</f>
        <v>13000</v>
      </c>
      <c r="Y13" s="425">
        <f t="shared" si="2"/>
        <v>0</v>
      </c>
      <c r="Z13" s="425">
        <f t="shared" si="3"/>
        <v>0</v>
      </c>
      <c r="AA13" s="425"/>
      <c r="AB13" s="431">
        <f t="shared" si="4"/>
        <v>20469</v>
      </c>
      <c r="AC13" s="432">
        <f t="shared" si="5"/>
        <v>-20469</v>
      </c>
      <c r="AD13" s="433"/>
      <c r="AE13" s="433"/>
      <c r="AF13" s="166"/>
      <c r="AG13" s="127"/>
      <c r="AH13" s="127"/>
      <c r="AK13" s="824" t="s">
        <v>149</v>
      </c>
      <c r="AL13" s="825"/>
      <c r="AM13" s="143">
        <v>700</v>
      </c>
      <c r="AN13" s="144">
        <v>1200</v>
      </c>
    </row>
    <row r="14" spans="1:45" ht="34.5" customHeight="1" thickTop="1" thickBot="1">
      <c r="A14" s="173"/>
      <c r="B14" s="423">
        <v>5</v>
      </c>
      <c r="C14" s="424">
        <v>45108</v>
      </c>
      <c r="D14" s="425">
        <f>Master!AH14</f>
        <v>0</v>
      </c>
      <c r="E14" s="426">
        <f>Master!D11</f>
        <v>0</v>
      </c>
      <c r="F14" s="426">
        <f>Master!E11</f>
        <v>0</v>
      </c>
      <c r="G14" s="425">
        <f>Master!G11</f>
        <v>0</v>
      </c>
      <c r="H14" s="425"/>
      <c r="I14" s="425"/>
      <c r="J14" s="425">
        <f>Master!H11</f>
        <v>0</v>
      </c>
      <c r="K14" s="425">
        <f>Master!U11</f>
        <v>0</v>
      </c>
      <c r="L14" s="427">
        <f t="shared" si="0"/>
        <v>0</v>
      </c>
      <c r="M14" s="426" t="str">
        <f>Master!S11</f>
        <v>0</v>
      </c>
      <c r="N14" s="426"/>
      <c r="O14" s="426">
        <f>Master!T11</f>
        <v>7000</v>
      </c>
      <c r="P14" s="425"/>
      <c r="Q14" s="425"/>
      <c r="R14" s="425"/>
      <c r="S14" s="425"/>
      <c r="T14" s="428">
        <f t="shared" si="1"/>
        <v>469</v>
      </c>
      <c r="U14" s="429">
        <f>Master!P11</f>
        <v>0</v>
      </c>
      <c r="V14" s="429"/>
      <c r="W14" s="430"/>
      <c r="X14" s="425">
        <f>Master!K11</f>
        <v>13000</v>
      </c>
      <c r="Y14" s="425">
        <f t="shared" si="2"/>
        <v>0</v>
      </c>
      <c r="Z14" s="425">
        <f t="shared" si="3"/>
        <v>0</v>
      </c>
      <c r="AA14" s="425"/>
      <c r="AB14" s="431">
        <f t="shared" si="4"/>
        <v>20469</v>
      </c>
      <c r="AC14" s="432">
        <f t="shared" si="5"/>
        <v>-20469</v>
      </c>
      <c r="AD14" s="433"/>
      <c r="AE14" s="433"/>
      <c r="AF14" s="166"/>
      <c r="AG14" s="127"/>
      <c r="AH14" s="127"/>
      <c r="AK14" s="824" t="s">
        <v>150</v>
      </c>
      <c r="AL14" s="825"/>
      <c r="AM14" s="143">
        <v>1300</v>
      </c>
      <c r="AN14" s="144">
        <v>2200</v>
      </c>
    </row>
    <row r="15" spans="1:45" ht="34.5" customHeight="1" thickTop="1" thickBot="1">
      <c r="A15" s="173"/>
      <c r="B15" s="423">
        <v>6</v>
      </c>
      <c r="C15" s="424">
        <v>45139</v>
      </c>
      <c r="D15" s="425">
        <f>Master!AH15</f>
        <v>0</v>
      </c>
      <c r="E15" s="426">
        <f>Master!D12</f>
        <v>0</v>
      </c>
      <c r="F15" s="426">
        <f>Master!E12</f>
        <v>0</v>
      </c>
      <c r="G15" s="425">
        <f>Master!G12</f>
        <v>0</v>
      </c>
      <c r="H15" s="425"/>
      <c r="I15" s="425"/>
      <c r="J15" s="425">
        <f>Master!H12</f>
        <v>0</v>
      </c>
      <c r="K15" s="425">
        <f>Master!U12</f>
        <v>0</v>
      </c>
      <c r="L15" s="427">
        <f t="shared" si="0"/>
        <v>0</v>
      </c>
      <c r="M15" s="426" t="str">
        <f>Master!S12</f>
        <v>0</v>
      </c>
      <c r="N15" s="426"/>
      <c r="O15" s="426">
        <f>Master!T12</f>
        <v>7000</v>
      </c>
      <c r="P15" s="425"/>
      <c r="Q15" s="425"/>
      <c r="R15" s="425"/>
      <c r="S15" s="425"/>
      <c r="T15" s="428">
        <f t="shared" si="1"/>
        <v>469</v>
      </c>
      <c r="U15" s="429">
        <f>Master!P12</f>
        <v>0</v>
      </c>
      <c r="V15" s="429"/>
      <c r="W15" s="430"/>
      <c r="X15" s="425">
        <f>Master!K12</f>
        <v>18000</v>
      </c>
      <c r="Y15" s="425">
        <f t="shared" si="2"/>
        <v>0</v>
      </c>
      <c r="Z15" s="425">
        <f t="shared" si="3"/>
        <v>0</v>
      </c>
      <c r="AA15" s="425"/>
      <c r="AB15" s="431">
        <f t="shared" si="4"/>
        <v>25469</v>
      </c>
      <c r="AC15" s="432">
        <f t="shared" si="5"/>
        <v>-25469</v>
      </c>
      <c r="AD15" s="433"/>
      <c r="AE15" s="433"/>
      <c r="AF15" s="166"/>
      <c r="AG15" s="127"/>
      <c r="AH15" s="127"/>
      <c r="AK15" s="824" t="s">
        <v>151</v>
      </c>
      <c r="AL15" s="825"/>
      <c r="AM15" s="143">
        <v>1800</v>
      </c>
      <c r="AN15" s="144">
        <v>3000</v>
      </c>
    </row>
    <row r="16" spans="1:45" ht="34.5" customHeight="1" thickTop="1" thickBot="1">
      <c r="A16" s="173"/>
      <c r="B16" s="423">
        <v>7</v>
      </c>
      <c r="C16" s="424">
        <v>45170</v>
      </c>
      <c r="D16" s="425">
        <f>Master!AH16</f>
        <v>0</v>
      </c>
      <c r="E16" s="426">
        <f>Master!D13</f>
        <v>0</v>
      </c>
      <c r="F16" s="426">
        <f>Master!E13</f>
        <v>0</v>
      </c>
      <c r="G16" s="425">
        <f>Master!G13</f>
        <v>0</v>
      </c>
      <c r="H16" s="425"/>
      <c r="I16" s="425"/>
      <c r="J16" s="425">
        <f>Master!H13</f>
        <v>0</v>
      </c>
      <c r="K16" s="425">
        <f>Master!U13</f>
        <v>0</v>
      </c>
      <c r="L16" s="427">
        <f t="shared" si="0"/>
        <v>0</v>
      </c>
      <c r="M16" s="426" t="str">
        <f>Master!S13</f>
        <v>0</v>
      </c>
      <c r="N16" s="426"/>
      <c r="O16" s="426">
        <f>Master!T13</f>
        <v>7000</v>
      </c>
      <c r="P16" s="425"/>
      <c r="Q16" s="425"/>
      <c r="R16" s="425"/>
      <c r="S16" s="425"/>
      <c r="T16" s="428">
        <f t="shared" si="1"/>
        <v>469</v>
      </c>
      <c r="U16" s="429">
        <f>Master!P13</f>
        <v>0</v>
      </c>
      <c r="V16" s="429"/>
      <c r="W16" s="430">
        <f>Master!W22</f>
        <v>0</v>
      </c>
      <c r="X16" s="425">
        <f>Master!K13</f>
        <v>18000</v>
      </c>
      <c r="Y16" s="425">
        <f t="shared" si="2"/>
        <v>0</v>
      </c>
      <c r="Z16" s="425">
        <f t="shared" si="3"/>
        <v>0</v>
      </c>
      <c r="AA16" s="425"/>
      <c r="AB16" s="431">
        <f t="shared" si="4"/>
        <v>25469</v>
      </c>
      <c r="AC16" s="432">
        <f t="shared" si="5"/>
        <v>-25469</v>
      </c>
      <c r="AD16" s="433"/>
      <c r="AE16" s="433"/>
      <c r="AF16" s="166"/>
      <c r="AG16" s="127"/>
      <c r="AH16" s="127"/>
      <c r="AK16" s="824" t="s">
        <v>152</v>
      </c>
      <c r="AL16" s="825"/>
      <c r="AM16" s="143">
        <v>3000</v>
      </c>
      <c r="AN16" s="144">
        <v>5000</v>
      </c>
    </row>
    <row r="17" spans="1:45" ht="34.5" customHeight="1" thickTop="1" thickBot="1">
      <c r="A17" s="173"/>
      <c r="B17" s="423">
        <v>8</v>
      </c>
      <c r="C17" s="424">
        <v>45200</v>
      </c>
      <c r="D17" s="425">
        <f>Master!AH17</f>
        <v>0</v>
      </c>
      <c r="E17" s="426">
        <f>Master!D14</f>
        <v>0</v>
      </c>
      <c r="F17" s="426">
        <f>Master!E14</f>
        <v>0</v>
      </c>
      <c r="G17" s="425">
        <f>Master!G14</f>
        <v>0</v>
      </c>
      <c r="H17" s="425"/>
      <c r="I17" s="425"/>
      <c r="J17" s="425">
        <f>Master!H14</f>
        <v>0</v>
      </c>
      <c r="K17" s="425">
        <f>Master!U14</f>
        <v>0</v>
      </c>
      <c r="L17" s="427">
        <f t="shared" si="0"/>
        <v>0</v>
      </c>
      <c r="M17" s="426" t="str">
        <f>Master!S14</f>
        <v>0</v>
      </c>
      <c r="N17" s="426"/>
      <c r="O17" s="426">
        <f>Master!T14</f>
        <v>7000</v>
      </c>
      <c r="P17" s="425"/>
      <c r="Q17" s="425"/>
      <c r="R17" s="425"/>
      <c r="S17" s="425"/>
      <c r="T17" s="428">
        <f t="shared" si="1"/>
        <v>469</v>
      </c>
      <c r="U17" s="429">
        <f>Master!P14</f>
        <v>0</v>
      </c>
      <c r="V17" s="429"/>
      <c r="W17" s="430">
        <f>Master!W23</f>
        <v>0</v>
      </c>
      <c r="X17" s="425">
        <f>Master!K14</f>
        <v>18000</v>
      </c>
      <c r="Y17" s="425">
        <f t="shared" si="2"/>
        <v>0</v>
      </c>
      <c r="Z17" s="425">
        <f t="shared" si="3"/>
        <v>0</v>
      </c>
      <c r="AA17" s="425"/>
      <c r="AB17" s="431">
        <f>M17+N17+O17+P17+Q17+R17+S17+T17+U17+V17+W17+X17+Y17+Z17+AA17</f>
        <v>25469</v>
      </c>
      <c r="AC17" s="432">
        <f t="shared" si="5"/>
        <v>-25469</v>
      </c>
      <c r="AD17" s="433"/>
      <c r="AE17" s="433"/>
      <c r="AF17" s="166"/>
      <c r="AG17" s="127"/>
      <c r="AH17" s="127"/>
      <c r="AK17" s="826" t="s">
        <v>153</v>
      </c>
      <c r="AL17" s="827"/>
      <c r="AM17" s="145">
        <v>4000</v>
      </c>
      <c r="AN17" s="146">
        <v>7000</v>
      </c>
    </row>
    <row r="18" spans="1:45" ht="34.5" customHeight="1" thickTop="1" thickBot="1">
      <c r="A18" s="173"/>
      <c r="B18" s="423">
        <v>9</v>
      </c>
      <c r="C18" s="424">
        <v>45231</v>
      </c>
      <c r="D18" s="425">
        <f>Master!AH18</f>
        <v>0</v>
      </c>
      <c r="E18" s="426">
        <f>Master!D15</f>
        <v>0</v>
      </c>
      <c r="F18" s="426">
        <f>Master!E15</f>
        <v>0</v>
      </c>
      <c r="G18" s="425">
        <f>Master!G15</f>
        <v>0</v>
      </c>
      <c r="H18" s="425"/>
      <c r="I18" s="425"/>
      <c r="J18" s="425">
        <f>Master!H15</f>
        <v>0</v>
      </c>
      <c r="K18" s="425">
        <f>Master!U15</f>
        <v>0</v>
      </c>
      <c r="L18" s="427">
        <f t="shared" si="0"/>
        <v>0</v>
      </c>
      <c r="M18" s="426" t="str">
        <f>Master!S15</f>
        <v>0</v>
      </c>
      <c r="N18" s="426"/>
      <c r="O18" s="426">
        <f>Master!T15</f>
        <v>7000</v>
      </c>
      <c r="P18" s="425"/>
      <c r="Q18" s="425"/>
      <c r="R18" s="425"/>
      <c r="S18" s="425"/>
      <c r="T18" s="428">
        <f t="shared" si="1"/>
        <v>469</v>
      </c>
      <c r="U18" s="429">
        <f>Master!P15</f>
        <v>0</v>
      </c>
      <c r="V18" s="429"/>
      <c r="W18" s="430">
        <f>Master!W24</f>
        <v>0</v>
      </c>
      <c r="X18" s="425">
        <f>Master!K15</f>
        <v>35000</v>
      </c>
      <c r="Y18" s="425">
        <f t="shared" si="2"/>
        <v>0</v>
      </c>
      <c r="Z18" s="425">
        <f t="shared" si="3"/>
        <v>0</v>
      </c>
      <c r="AA18" s="425"/>
      <c r="AB18" s="431">
        <f t="shared" ref="AB18:AB29" si="6">M18+N18+O18+P18+Q18+R18+S18+T18+U18+V18+W18+X18+Y18+Z18+AA18</f>
        <v>42469</v>
      </c>
      <c r="AC18" s="432">
        <f t="shared" si="5"/>
        <v>-42469</v>
      </c>
      <c r="AD18" s="433"/>
      <c r="AE18" s="433"/>
      <c r="AF18" s="166"/>
      <c r="AG18" s="127"/>
      <c r="AH18" s="127"/>
      <c r="AK18" s="825" t="s">
        <v>465</v>
      </c>
      <c r="AL18" s="825"/>
      <c r="AM18" s="143">
        <v>0</v>
      </c>
      <c r="AN18" s="143">
        <v>0</v>
      </c>
    </row>
    <row r="19" spans="1:45" ht="34.5" customHeight="1" thickTop="1" thickBot="1">
      <c r="A19" s="173"/>
      <c r="B19" s="423">
        <v>10</v>
      </c>
      <c r="C19" s="424">
        <v>45261</v>
      </c>
      <c r="D19" s="425">
        <f>Master!AH19</f>
        <v>0</v>
      </c>
      <c r="E19" s="426">
        <f>Master!D16</f>
        <v>0</v>
      </c>
      <c r="F19" s="426">
        <f>Master!E16</f>
        <v>0</v>
      </c>
      <c r="G19" s="425">
        <f>Master!G16</f>
        <v>0</v>
      </c>
      <c r="H19" s="425"/>
      <c r="I19" s="425"/>
      <c r="J19" s="425">
        <f>Master!H16</f>
        <v>0</v>
      </c>
      <c r="K19" s="425">
        <f>Master!U16</f>
        <v>0</v>
      </c>
      <c r="L19" s="427">
        <f t="shared" si="0"/>
        <v>0</v>
      </c>
      <c r="M19" s="426" t="str">
        <f>Master!S16</f>
        <v>0</v>
      </c>
      <c r="N19" s="426"/>
      <c r="O19" s="426">
        <f>Master!T16</f>
        <v>7000</v>
      </c>
      <c r="P19" s="425"/>
      <c r="Q19" s="425"/>
      <c r="R19" s="425"/>
      <c r="S19" s="425"/>
      <c r="T19" s="428">
        <f t="shared" si="1"/>
        <v>469</v>
      </c>
      <c r="U19" s="429">
        <f>Master!P16</f>
        <v>0</v>
      </c>
      <c r="V19" s="429"/>
      <c r="W19" s="430">
        <f>Master!W25</f>
        <v>0</v>
      </c>
      <c r="X19" s="425">
        <f>Master!K16</f>
        <v>35000</v>
      </c>
      <c r="Y19" s="425">
        <f t="shared" si="2"/>
        <v>0</v>
      </c>
      <c r="Z19" s="425">
        <f t="shared" si="3"/>
        <v>0</v>
      </c>
      <c r="AA19" s="425">
        <f>Master!T2</f>
        <v>500</v>
      </c>
      <c r="AB19" s="431">
        <f t="shared" si="6"/>
        <v>42969</v>
      </c>
      <c r="AC19" s="432">
        <f t="shared" si="5"/>
        <v>-42969</v>
      </c>
      <c r="AD19" s="433"/>
      <c r="AE19" s="433"/>
      <c r="AF19" s="166"/>
      <c r="AG19" s="127"/>
      <c r="AH19" s="127"/>
    </row>
    <row r="20" spans="1:45" ht="34.5" customHeight="1" thickTop="1" thickBot="1">
      <c r="A20" s="173"/>
      <c r="B20" s="423">
        <v>11</v>
      </c>
      <c r="C20" s="424">
        <v>45292</v>
      </c>
      <c r="D20" s="425">
        <f>Master!AH20</f>
        <v>0</v>
      </c>
      <c r="E20" s="426">
        <f>Master!D17</f>
        <v>0</v>
      </c>
      <c r="F20" s="426">
        <f>Master!E17</f>
        <v>0</v>
      </c>
      <c r="G20" s="425">
        <f>Master!G17</f>
        <v>0</v>
      </c>
      <c r="H20" s="425"/>
      <c r="I20" s="425"/>
      <c r="J20" s="425">
        <f>Master!H17</f>
        <v>0</v>
      </c>
      <c r="K20" s="425">
        <f>Master!U17</f>
        <v>0</v>
      </c>
      <c r="L20" s="427">
        <f t="shared" si="0"/>
        <v>0</v>
      </c>
      <c r="M20" s="426" t="str">
        <f>Master!S17</f>
        <v>0</v>
      </c>
      <c r="N20" s="426"/>
      <c r="O20" s="426">
        <f>Master!T17</f>
        <v>7000</v>
      </c>
      <c r="P20" s="425"/>
      <c r="Q20" s="425"/>
      <c r="R20" s="425"/>
      <c r="S20" s="425"/>
      <c r="T20" s="428">
        <f t="shared" si="1"/>
        <v>469</v>
      </c>
      <c r="U20" s="429">
        <f>Master!P17</f>
        <v>0</v>
      </c>
      <c r="V20" s="429"/>
      <c r="W20" s="430">
        <f>Master!W26</f>
        <v>0</v>
      </c>
      <c r="X20" s="425">
        <f>Master!K17</f>
        <v>35000</v>
      </c>
      <c r="Y20" s="425">
        <f t="shared" si="2"/>
        <v>0</v>
      </c>
      <c r="Z20" s="425">
        <f t="shared" si="3"/>
        <v>0</v>
      </c>
      <c r="AA20" s="425"/>
      <c r="AB20" s="431">
        <f t="shared" si="6"/>
        <v>42469</v>
      </c>
      <c r="AC20" s="432">
        <f t="shared" si="5"/>
        <v>-42469</v>
      </c>
      <c r="AD20" s="433"/>
      <c r="AE20" s="433"/>
      <c r="AF20" s="166"/>
      <c r="AG20" s="127"/>
      <c r="AH20" s="127"/>
    </row>
    <row r="21" spans="1:45" ht="34.5" customHeight="1" thickTop="1" thickBot="1">
      <c r="A21" s="173"/>
      <c r="B21" s="423">
        <v>12</v>
      </c>
      <c r="C21" s="424">
        <v>45323</v>
      </c>
      <c r="D21" s="425">
        <f>Master!AH21</f>
        <v>0</v>
      </c>
      <c r="E21" s="426">
        <f>Master!D18</f>
        <v>0</v>
      </c>
      <c r="F21" s="426">
        <f>Master!E18</f>
        <v>0</v>
      </c>
      <c r="G21" s="425">
        <f>Master!G18</f>
        <v>0</v>
      </c>
      <c r="H21" s="425"/>
      <c r="I21" s="425"/>
      <c r="J21" s="425">
        <f>Master!H18</f>
        <v>0</v>
      </c>
      <c r="K21" s="425">
        <f>Master!U18</f>
        <v>0</v>
      </c>
      <c r="L21" s="427">
        <f t="shared" si="0"/>
        <v>0</v>
      </c>
      <c r="M21" s="426" t="str">
        <f>Master!S18</f>
        <v>0</v>
      </c>
      <c r="N21" s="426"/>
      <c r="O21" s="426">
        <f>Master!T18</f>
        <v>7000</v>
      </c>
      <c r="P21" s="425"/>
      <c r="Q21" s="425"/>
      <c r="R21" s="425"/>
      <c r="S21" s="425"/>
      <c r="T21" s="428">
        <f t="shared" ref="T21" si="7">T20</f>
        <v>469</v>
      </c>
      <c r="U21" s="429">
        <f>Master!P18</f>
        <v>0</v>
      </c>
      <c r="V21" s="429"/>
      <c r="W21" s="430">
        <f>Master!W27</f>
        <v>0</v>
      </c>
      <c r="X21" s="425">
        <f>Master!K18</f>
        <v>30000</v>
      </c>
      <c r="Y21" s="425">
        <f t="shared" si="2"/>
        <v>0</v>
      </c>
      <c r="Z21" s="425">
        <f t="shared" si="3"/>
        <v>0</v>
      </c>
      <c r="AA21" s="425"/>
      <c r="AB21" s="431">
        <f t="shared" si="6"/>
        <v>37469</v>
      </c>
      <c r="AC21" s="432">
        <f t="shared" si="5"/>
        <v>-37469</v>
      </c>
      <c r="AD21" s="433"/>
      <c r="AE21" s="433"/>
      <c r="AF21" s="166"/>
      <c r="AG21" s="127"/>
      <c r="AH21" s="127"/>
    </row>
    <row r="22" spans="1:45" ht="34.5" customHeight="1" thickTop="1" thickBot="1">
      <c r="A22" s="173"/>
      <c r="B22" s="423">
        <v>13</v>
      </c>
      <c r="C22" s="434" t="s">
        <v>4</v>
      </c>
      <c r="D22" s="426">
        <f>Master!M6</f>
        <v>0</v>
      </c>
      <c r="E22" s="426">
        <f>Master!N6</f>
        <v>0</v>
      </c>
      <c r="F22" s="426"/>
      <c r="G22" s="425"/>
      <c r="H22" s="426"/>
      <c r="I22" s="426"/>
      <c r="J22" s="426">
        <f>Master!O4</f>
        <v>0</v>
      </c>
      <c r="K22" s="426"/>
      <c r="L22" s="427">
        <f t="shared" si="0"/>
        <v>0</v>
      </c>
      <c r="M22" s="426"/>
      <c r="N22" s="426"/>
      <c r="O22" s="425"/>
      <c r="P22" s="425"/>
      <c r="Q22" s="425"/>
      <c r="R22" s="425"/>
      <c r="S22" s="425"/>
      <c r="T22" s="435"/>
      <c r="U22" s="429"/>
      <c r="V22" s="429"/>
      <c r="W22" s="429"/>
      <c r="X22" s="425"/>
      <c r="Y22" s="425"/>
      <c r="Z22" s="425">
        <f t="shared" si="3"/>
        <v>0</v>
      </c>
      <c r="AA22" s="425"/>
      <c r="AB22" s="431">
        <f t="shared" si="6"/>
        <v>0</v>
      </c>
      <c r="AC22" s="432">
        <f t="shared" si="5"/>
        <v>0</v>
      </c>
      <c r="AD22" s="433"/>
      <c r="AE22" s="433"/>
      <c r="AF22" s="166"/>
      <c r="AG22" s="127"/>
      <c r="AH22" s="127"/>
    </row>
    <row r="23" spans="1:45" ht="34.5" customHeight="1" thickTop="1" thickBot="1">
      <c r="A23" s="173"/>
      <c r="B23" s="423">
        <v>14</v>
      </c>
      <c r="C23" s="610" t="s">
        <v>976</v>
      </c>
      <c r="D23" s="426"/>
      <c r="E23" s="426">
        <f>Master!K36</f>
        <v>0</v>
      </c>
      <c r="F23" s="426"/>
      <c r="G23" s="425"/>
      <c r="H23" s="426"/>
      <c r="I23" s="426"/>
      <c r="J23" s="426"/>
      <c r="K23" s="426">
        <f>Master!N36</f>
        <v>0</v>
      </c>
      <c r="L23" s="427">
        <f t="shared" si="0"/>
        <v>0</v>
      </c>
      <c r="M23" s="426">
        <f>Master!L36</f>
        <v>0</v>
      </c>
      <c r="N23" s="426">
        <f>Master!O36</f>
        <v>0</v>
      </c>
      <c r="O23" s="425"/>
      <c r="P23" s="425"/>
      <c r="Q23" s="425"/>
      <c r="R23" s="425"/>
      <c r="S23" s="425"/>
      <c r="T23" s="429"/>
      <c r="U23" s="429"/>
      <c r="V23" s="429"/>
      <c r="W23" s="429"/>
      <c r="X23" s="425"/>
      <c r="Y23" s="425"/>
      <c r="Z23" s="425">
        <f t="shared" si="3"/>
        <v>0</v>
      </c>
      <c r="AA23" s="425"/>
      <c r="AB23" s="431">
        <f t="shared" si="6"/>
        <v>0</v>
      </c>
      <c r="AC23" s="432">
        <f t="shared" si="5"/>
        <v>0</v>
      </c>
      <c r="AD23" s="433"/>
      <c r="AE23" s="433"/>
      <c r="AF23" s="166"/>
      <c r="AG23" s="127"/>
      <c r="AH23" s="127"/>
    </row>
    <row r="24" spans="1:45" ht="34.5" customHeight="1" thickTop="1" thickBot="1">
      <c r="A24" s="173"/>
      <c r="B24" s="423">
        <v>15</v>
      </c>
      <c r="C24" s="610" t="s">
        <v>995</v>
      </c>
      <c r="D24" s="426"/>
      <c r="E24" s="426">
        <f>Master!K40</f>
        <v>0</v>
      </c>
      <c r="F24" s="426"/>
      <c r="G24" s="425"/>
      <c r="H24" s="426"/>
      <c r="I24" s="426"/>
      <c r="J24" s="426"/>
      <c r="K24" s="426">
        <f>Master!N39</f>
        <v>0</v>
      </c>
      <c r="L24" s="427">
        <f t="shared" si="0"/>
        <v>0</v>
      </c>
      <c r="M24" s="426">
        <f>Master!L40</f>
        <v>0</v>
      </c>
      <c r="N24" s="426"/>
      <c r="O24" s="425"/>
      <c r="P24" s="425"/>
      <c r="Q24" s="425"/>
      <c r="R24" s="425"/>
      <c r="S24" s="425"/>
      <c r="T24" s="429"/>
      <c r="U24" s="429"/>
      <c r="V24" s="429"/>
      <c r="W24" s="429"/>
      <c r="X24" s="425"/>
      <c r="Y24" s="425"/>
      <c r="Z24" s="425">
        <f t="shared" si="3"/>
        <v>0</v>
      </c>
      <c r="AA24" s="425"/>
      <c r="AB24" s="431">
        <f t="shared" si="6"/>
        <v>0</v>
      </c>
      <c r="AC24" s="432">
        <f t="shared" si="5"/>
        <v>0</v>
      </c>
      <c r="AD24" s="433"/>
      <c r="AE24" s="433"/>
      <c r="AF24" s="166"/>
      <c r="AG24" s="127"/>
      <c r="AH24" s="127"/>
      <c r="AR24" s="127"/>
      <c r="AS24" s="127"/>
    </row>
    <row r="25" spans="1:45" ht="34.5" customHeight="1" thickTop="1" thickBot="1">
      <c r="A25" s="173"/>
      <c r="B25" s="423">
        <v>16</v>
      </c>
      <c r="C25" s="424" t="s">
        <v>5</v>
      </c>
      <c r="D25" s="436"/>
      <c r="E25" s="426"/>
      <c r="F25" s="426"/>
      <c r="G25" s="425"/>
      <c r="H25" s="426">
        <f>Master!L3</f>
        <v>0</v>
      </c>
      <c r="I25" s="426"/>
      <c r="J25" s="426"/>
      <c r="K25" s="426"/>
      <c r="L25" s="427">
        <f t="shared" si="0"/>
        <v>0</v>
      </c>
      <c r="M25" s="426">
        <f>Master!M3</f>
        <v>0</v>
      </c>
      <c r="N25" s="425"/>
      <c r="O25" s="425"/>
      <c r="P25" s="425"/>
      <c r="Q25" s="425"/>
      <c r="R25" s="425"/>
      <c r="S25" s="425"/>
      <c r="T25" s="429"/>
      <c r="U25" s="429"/>
      <c r="V25" s="429"/>
      <c r="W25" s="429"/>
      <c r="X25" s="425"/>
      <c r="Y25" s="425"/>
      <c r="Z25" s="425">
        <f t="shared" si="3"/>
        <v>0</v>
      </c>
      <c r="AA25" s="425"/>
      <c r="AB25" s="431">
        <f t="shared" si="6"/>
        <v>0</v>
      </c>
      <c r="AC25" s="432">
        <f t="shared" si="5"/>
        <v>0</v>
      </c>
      <c r="AD25" s="433"/>
      <c r="AE25" s="433"/>
      <c r="AF25" s="166"/>
      <c r="AG25" s="127"/>
      <c r="AH25" s="127"/>
      <c r="AR25" s="127"/>
      <c r="AS25" s="127"/>
    </row>
    <row r="26" spans="1:45" ht="34.5" customHeight="1" thickTop="1" thickBot="1">
      <c r="A26" s="173"/>
      <c r="B26" s="437">
        <v>17</v>
      </c>
      <c r="C26" s="438" t="s">
        <v>457</v>
      </c>
      <c r="D26" s="425"/>
      <c r="E26" s="425"/>
      <c r="F26" s="425"/>
      <c r="G26" s="425"/>
      <c r="H26" s="425"/>
      <c r="I26" s="425"/>
      <c r="J26" s="425">
        <f>Master!J21</f>
        <v>794000</v>
      </c>
      <c r="K26" s="426">
        <f>Master!L23</f>
        <v>0</v>
      </c>
      <c r="L26" s="427">
        <f>ROUND((D26+E26+F26+G26+H26+I26+J26+K26),0)</f>
        <v>794000</v>
      </c>
      <c r="M26" s="426">
        <f>Master!L21</f>
        <v>0</v>
      </c>
      <c r="N26" s="425"/>
      <c r="O26" s="425"/>
      <c r="P26" s="425"/>
      <c r="Q26" s="425"/>
      <c r="R26" s="425"/>
      <c r="S26" s="425"/>
      <c r="T26" s="429"/>
      <c r="U26" s="429"/>
      <c r="V26" s="429"/>
      <c r="W26" s="429"/>
      <c r="X26" s="425">
        <f>Master!K21</f>
        <v>9447</v>
      </c>
      <c r="Y26" s="425"/>
      <c r="Z26" s="425">
        <f t="shared" si="3"/>
        <v>0</v>
      </c>
      <c r="AA26" s="425"/>
      <c r="AB26" s="431">
        <f t="shared" si="6"/>
        <v>9447</v>
      </c>
      <c r="AC26" s="432">
        <f t="shared" si="5"/>
        <v>784553</v>
      </c>
      <c r="AD26" s="433"/>
      <c r="AE26" s="433"/>
      <c r="AF26" s="166"/>
      <c r="AG26" s="127"/>
      <c r="AH26" s="127"/>
      <c r="AR26" s="127"/>
      <c r="AS26" s="127"/>
    </row>
    <row r="27" spans="1:45" ht="34.5" customHeight="1" thickTop="1" thickBot="1">
      <c r="A27" s="173"/>
      <c r="B27" s="437">
        <v>18</v>
      </c>
      <c r="C27" s="438" t="s">
        <v>458</v>
      </c>
      <c r="D27" s="425"/>
      <c r="E27" s="425"/>
      <c r="F27" s="425"/>
      <c r="G27" s="425"/>
      <c r="H27" s="425"/>
      <c r="I27" s="425"/>
      <c r="J27" s="425">
        <f>Master!M21</f>
        <v>0</v>
      </c>
      <c r="K27" s="426">
        <f>Master!O23</f>
        <v>0</v>
      </c>
      <c r="L27" s="427">
        <f t="shared" si="0"/>
        <v>0</v>
      </c>
      <c r="M27" s="426">
        <f>Master!O21</f>
        <v>0</v>
      </c>
      <c r="N27" s="425"/>
      <c r="O27" s="425"/>
      <c r="P27" s="425"/>
      <c r="Q27" s="425"/>
      <c r="R27" s="425"/>
      <c r="S27" s="425"/>
      <c r="T27" s="429"/>
      <c r="U27" s="429"/>
      <c r="V27" s="429"/>
      <c r="W27" s="429"/>
      <c r="X27" s="425">
        <f>Master!N21</f>
        <v>0</v>
      </c>
      <c r="Y27" s="425"/>
      <c r="Z27" s="425">
        <f t="shared" si="3"/>
        <v>0</v>
      </c>
      <c r="AA27" s="425"/>
      <c r="AB27" s="431">
        <f t="shared" si="6"/>
        <v>0</v>
      </c>
      <c r="AC27" s="432">
        <f t="shared" si="5"/>
        <v>0</v>
      </c>
      <c r="AD27" s="433"/>
      <c r="AE27" s="433"/>
      <c r="AF27" s="166"/>
      <c r="AG27" s="127"/>
      <c r="AH27" s="127"/>
      <c r="AR27" s="127"/>
      <c r="AS27" s="127"/>
    </row>
    <row r="28" spans="1:45" ht="19.5" hidden="1" customHeight="1" thickTop="1" thickBot="1">
      <c r="A28" s="173"/>
      <c r="B28" s="437">
        <v>19</v>
      </c>
      <c r="C28" s="439"/>
      <c r="D28" s="426">
        <f>Master!AK15</f>
        <v>0</v>
      </c>
      <c r="E28" s="426">
        <f>Master!D19</f>
        <v>0</v>
      </c>
      <c r="F28" s="426">
        <f>Master!E19</f>
        <v>0</v>
      </c>
      <c r="G28" s="426">
        <f>Master!G19</f>
        <v>0</v>
      </c>
      <c r="H28" s="426"/>
      <c r="I28" s="426"/>
      <c r="J28" s="426"/>
      <c r="K28" s="426">
        <f>Master!U19</f>
        <v>0</v>
      </c>
      <c r="L28" s="427">
        <f t="shared" si="0"/>
        <v>0</v>
      </c>
      <c r="M28" s="426">
        <f>Master!S19</f>
        <v>0</v>
      </c>
      <c r="N28" s="426"/>
      <c r="O28" s="426"/>
      <c r="P28" s="426"/>
      <c r="Q28" s="426"/>
      <c r="R28" s="426"/>
      <c r="S28" s="425"/>
      <c r="T28" s="430"/>
      <c r="U28" s="430"/>
      <c r="V28" s="430"/>
      <c r="W28" s="430"/>
      <c r="X28" s="426"/>
      <c r="Y28" s="426"/>
      <c r="Z28" s="425">
        <f t="shared" si="3"/>
        <v>0</v>
      </c>
      <c r="AA28" s="425"/>
      <c r="AB28" s="431">
        <f t="shared" si="6"/>
        <v>0</v>
      </c>
      <c r="AC28" s="432">
        <f t="shared" si="5"/>
        <v>0</v>
      </c>
      <c r="AD28" s="433"/>
      <c r="AE28" s="433"/>
      <c r="AF28" s="166"/>
      <c r="AG28" s="127"/>
      <c r="AH28" s="127"/>
      <c r="AR28" s="127"/>
      <c r="AS28" s="127"/>
    </row>
    <row r="29" spans="1:45" ht="34.5" customHeight="1" thickTop="1" thickBot="1">
      <c r="A29" s="173"/>
      <c r="B29" s="437">
        <v>19</v>
      </c>
      <c r="C29" s="440" t="s">
        <v>609</v>
      </c>
      <c r="D29" s="426"/>
      <c r="E29" s="426"/>
      <c r="F29" s="426"/>
      <c r="G29" s="426"/>
      <c r="H29" s="426"/>
      <c r="I29" s="426"/>
      <c r="J29" s="426"/>
      <c r="K29" s="426"/>
      <c r="L29" s="427">
        <f t="shared" si="0"/>
        <v>0</v>
      </c>
      <c r="M29" s="426"/>
      <c r="N29" s="426"/>
      <c r="O29" s="426"/>
      <c r="P29" s="426"/>
      <c r="Q29" s="426"/>
      <c r="R29" s="426"/>
      <c r="S29" s="425"/>
      <c r="T29" s="430"/>
      <c r="U29" s="430"/>
      <c r="V29" s="430"/>
      <c r="W29" s="430"/>
      <c r="X29" s="426"/>
      <c r="Y29" s="426"/>
      <c r="Z29" s="425"/>
      <c r="AA29" s="425"/>
      <c r="AB29" s="431">
        <f t="shared" si="6"/>
        <v>0</v>
      </c>
      <c r="AC29" s="432">
        <f t="shared" si="5"/>
        <v>0</v>
      </c>
      <c r="AD29" s="433"/>
      <c r="AE29" s="433"/>
      <c r="AF29" s="166"/>
      <c r="AG29" s="127"/>
      <c r="AH29" s="127"/>
      <c r="AR29" s="127"/>
      <c r="AS29" s="127"/>
    </row>
    <row r="30" spans="1:45" s="360" customFormat="1" ht="42" customHeight="1" thickTop="1" thickBot="1">
      <c r="A30" s="174"/>
      <c r="B30" s="803" t="s">
        <v>6</v>
      </c>
      <c r="C30" s="803"/>
      <c r="D30" s="441">
        <f>SUM(D10:D29)</f>
        <v>0</v>
      </c>
      <c r="E30" s="441">
        <f>SUM(E10:E29)</f>
        <v>0</v>
      </c>
      <c r="F30" s="441">
        <f>SUM(F10:F29)</f>
        <v>0</v>
      </c>
      <c r="G30" s="441">
        <f>SUM(G10:G29)</f>
        <v>0</v>
      </c>
      <c r="H30" s="441">
        <f>SUM(H10:H29)</f>
        <v>0</v>
      </c>
      <c r="I30" s="441">
        <f>I10+I11+I12+I13+I14+I15+I16+I17+I18+I19+I20+I21+I22+I23+I24+I25+I26+I27+I28+I29</f>
        <v>0</v>
      </c>
      <c r="J30" s="441">
        <f t="shared" ref="J30:AC30" si="8">J10+J11+J12+J13+J14+J15+J16+J17+J18+J19+J20+J21+J22+J23+J24+J25+J26+J27+J28+J29</f>
        <v>794000</v>
      </c>
      <c r="K30" s="441">
        <f t="shared" si="8"/>
        <v>0</v>
      </c>
      <c r="L30" s="441">
        <f t="shared" si="8"/>
        <v>794000</v>
      </c>
      <c r="M30" s="441">
        <f t="shared" si="8"/>
        <v>0</v>
      </c>
      <c r="N30" s="441">
        <f t="shared" si="8"/>
        <v>0</v>
      </c>
      <c r="O30" s="441">
        <f t="shared" si="8"/>
        <v>84000</v>
      </c>
      <c r="P30" s="441">
        <f t="shared" si="8"/>
        <v>0</v>
      </c>
      <c r="Q30" s="441">
        <f t="shared" si="8"/>
        <v>0</v>
      </c>
      <c r="R30" s="441">
        <f t="shared" si="8"/>
        <v>0</v>
      </c>
      <c r="S30" s="441">
        <f t="shared" si="8"/>
        <v>0</v>
      </c>
      <c r="T30" s="441">
        <f t="shared" si="8"/>
        <v>5628</v>
      </c>
      <c r="U30" s="441">
        <f t="shared" si="8"/>
        <v>0</v>
      </c>
      <c r="V30" s="441">
        <f t="shared" si="8"/>
        <v>2100</v>
      </c>
      <c r="W30" s="441">
        <f t="shared" si="8"/>
        <v>0</v>
      </c>
      <c r="X30" s="441">
        <f t="shared" si="8"/>
        <v>263447</v>
      </c>
      <c r="Y30" s="441">
        <f t="shared" si="8"/>
        <v>0</v>
      </c>
      <c r="Z30" s="441">
        <f t="shared" si="8"/>
        <v>0</v>
      </c>
      <c r="AA30" s="441">
        <f t="shared" si="8"/>
        <v>500</v>
      </c>
      <c r="AB30" s="441">
        <f t="shared" si="8"/>
        <v>355675</v>
      </c>
      <c r="AC30" s="441">
        <f t="shared" si="8"/>
        <v>438325</v>
      </c>
      <c r="AD30" s="442"/>
      <c r="AE30" s="442"/>
      <c r="AF30" s="358"/>
      <c r="AG30" s="359"/>
      <c r="AH30" s="359"/>
      <c r="AR30" s="359"/>
      <c r="AS30" s="359"/>
    </row>
    <row r="31" spans="1:45" ht="22.05" customHeight="1" thickTop="1">
      <c r="A31" s="173"/>
      <c r="B31" s="421"/>
      <c r="C31" s="422"/>
      <c r="D31" s="422"/>
      <c r="E31" s="422"/>
      <c r="F31" s="422"/>
      <c r="G31" s="422"/>
      <c r="H31" s="828"/>
      <c r="I31" s="828"/>
      <c r="J31" s="828"/>
      <c r="K31" s="828"/>
      <c r="L31" s="422"/>
      <c r="M31" s="128"/>
      <c r="N31" s="128"/>
      <c r="O31" s="128"/>
      <c r="P31" s="128"/>
      <c r="Q31" s="128"/>
      <c r="R31" s="127"/>
      <c r="S31" s="127"/>
      <c r="T31" s="127"/>
      <c r="U31" s="128"/>
      <c r="V31" s="127"/>
      <c r="W31" s="127"/>
      <c r="X31" s="127"/>
      <c r="Y31" s="127"/>
      <c r="Z31" s="127"/>
      <c r="AA31" s="127"/>
      <c r="AB31" s="127"/>
      <c r="AC31" s="127"/>
      <c r="AD31" s="176"/>
      <c r="AE31" s="127"/>
      <c r="AF31" s="166"/>
      <c r="AG31" s="127"/>
      <c r="AH31" s="127"/>
      <c r="AR31" s="127"/>
      <c r="AS31" s="127"/>
    </row>
    <row r="32" spans="1:45" ht="14.4">
      <c r="A32" s="173"/>
      <c r="B32" s="127"/>
      <c r="C32" s="127"/>
      <c r="D32" s="127"/>
      <c r="E32" s="127"/>
      <c r="F32" s="127"/>
      <c r="G32" s="127"/>
      <c r="H32" s="127"/>
      <c r="I32" s="127"/>
      <c r="J32" s="127"/>
      <c r="K32" s="127"/>
      <c r="L32" s="127"/>
      <c r="M32" s="127"/>
      <c r="N32" s="127"/>
      <c r="O32" s="127"/>
      <c r="P32" s="127"/>
      <c r="Q32" s="127"/>
      <c r="R32" s="127"/>
      <c r="S32" s="127"/>
      <c r="T32" s="127"/>
      <c r="U32" s="127"/>
      <c r="V32" s="127"/>
      <c r="W32" s="822">
        <f>'Gen Info'!F11</f>
        <v>0</v>
      </c>
      <c r="X32" s="822"/>
      <c r="Y32" s="822"/>
      <c r="Z32" s="822"/>
      <c r="AA32" s="822"/>
      <c r="AB32" s="822"/>
      <c r="AC32" s="822"/>
      <c r="AD32" s="127"/>
      <c r="AE32" s="127"/>
      <c r="AF32" s="167"/>
      <c r="AG32" s="127"/>
      <c r="AH32" s="127"/>
      <c r="AR32" s="127"/>
      <c r="AS32" s="127"/>
    </row>
    <row r="33" spans="1:45" ht="14.4">
      <c r="A33" s="173"/>
      <c r="B33" s="127"/>
      <c r="C33" s="127"/>
      <c r="D33" s="127"/>
      <c r="E33" s="366" t="s">
        <v>522</v>
      </c>
      <c r="F33" s="127"/>
      <c r="G33" s="127"/>
      <c r="H33" s="127"/>
      <c r="I33" s="127"/>
      <c r="J33" s="127"/>
      <c r="K33" s="127"/>
      <c r="L33" s="127"/>
      <c r="M33" s="127"/>
      <c r="N33" s="127"/>
      <c r="O33" s="127"/>
      <c r="P33" s="127"/>
      <c r="Q33" s="127"/>
      <c r="R33" s="127"/>
      <c r="S33" s="127"/>
      <c r="T33" s="127"/>
      <c r="U33" s="127"/>
      <c r="V33" s="127"/>
      <c r="W33" s="367" t="str">
        <f>'Gen Info'!F12</f>
        <v>GOVT SENIOR SECONDARY SCHOOL RAJPURA PIPERAN,SRI GANGANAGAR</v>
      </c>
      <c r="X33" s="367"/>
      <c r="Y33" s="367"/>
      <c r="Z33" s="367"/>
      <c r="AA33" s="367"/>
      <c r="AB33" s="367"/>
      <c r="AC33" s="367"/>
      <c r="AD33" s="127"/>
      <c r="AE33" s="127"/>
      <c r="AF33" s="167"/>
      <c r="AG33" s="127"/>
      <c r="AH33" s="127"/>
      <c r="AI33" s="127"/>
      <c r="AJ33" s="127"/>
      <c r="AK33" s="127"/>
      <c r="AL33" s="127"/>
      <c r="AM33" s="127"/>
      <c r="AN33" s="127"/>
      <c r="AO33" s="127"/>
      <c r="AP33" s="128"/>
      <c r="AQ33" s="128"/>
      <c r="AR33" s="127"/>
      <c r="AS33" s="127"/>
    </row>
    <row r="34" spans="1:45" ht="16.2" thickBot="1">
      <c r="A34" s="177"/>
      <c r="B34" s="178"/>
      <c r="C34" s="178"/>
      <c r="D34" s="178"/>
      <c r="E34" s="179"/>
      <c r="F34" s="179"/>
      <c r="G34" s="178"/>
      <c r="H34" s="178"/>
      <c r="I34" s="178"/>
      <c r="J34" s="178"/>
      <c r="K34" s="178"/>
      <c r="L34" s="178"/>
      <c r="M34" s="178"/>
      <c r="N34" s="178"/>
      <c r="O34" s="178"/>
      <c r="P34" s="178"/>
      <c r="Q34" s="535"/>
      <c r="R34" s="179"/>
      <c r="S34" s="179"/>
      <c r="T34" s="179"/>
      <c r="U34" s="178"/>
      <c r="V34" s="179"/>
      <c r="W34" s="179"/>
      <c r="X34" s="179"/>
      <c r="Y34" s="179"/>
      <c r="Z34" s="179"/>
      <c r="AA34" s="179"/>
      <c r="AB34" s="179"/>
      <c r="AC34" s="179"/>
      <c r="AD34" s="535" t="s">
        <v>654</v>
      </c>
      <c r="AE34" s="179"/>
      <c r="AF34" s="168"/>
      <c r="AG34" s="127"/>
      <c r="AH34" s="127"/>
      <c r="AI34" s="127"/>
      <c r="AJ34" s="127"/>
      <c r="AK34" s="127"/>
      <c r="AL34" s="127"/>
      <c r="AM34" s="127"/>
      <c r="AN34" s="127"/>
      <c r="AO34" s="127"/>
      <c r="AP34" s="127"/>
      <c r="AQ34" s="127"/>
      <c r="AR34" s="127"/>
      <c r="AS34" s="127"/>
    </row>
    <row r="35" spans="1:45" ht="14.55" customHeight="1"/>
  </sheetData>
  <sheetProtection algorithmName="SHA-512" hashValue="6qaGdy8L011uUcMJZkaid+KM5gxvOMDZq1Spf3zgbWwOM7wh7GditIZSrPcktX4QhVa42tqrf16b9WtAD4YoDw==" saltValue="AIiyPVuJY9QI2lOoKumQiQ==" spinCount="100000" sheet="1" formatCells="0" formatColumns="0" formatRows="0" selectLockedCells="1"/>
  <mergeCells count="34">
    <mergeCell ref="W32:AC32"/>
    <mergeCell ref="I6:K6"/>
    <mergeCell ref="L5:N5"/>
    <mergeCell ref="AK14:AL14"/>
    <mergeCell ref="AK15:AL15"/>
    <mergeCell ref="AK16:AL16"/>
    <mergeCell ref="AK17:AL17"/>
    <mergeCell ref="AK18:AL18"/>
    <mergeCell ref="H31:K31"/>
    <mergeCell ref="B7:L7"/>
    <mergeCell ref="M7:AE7"/>
    <mergeCell ref="AK10:AN10"/>
    <mergeCell ref="AK11:AL11"/>
    <mergeCell ref="AK12:AL12"/>
    <mergeCell ref="AK13:AL13"/>
    <mergeCell ref="AA6:AB6"/>
    <mergeCell ref="E1:L1"/>
    <mergeCell ref="B2:AE2"/>
    <mergeCell ref="B3:AE3"/>
    <mergeCell ref="B4:AE4"/>
    <mergeCell ref="B5:E5"/>
    <mergeCell ref="F5:K5"/>
    <mergeCell ref="O5:R5"/>
    <mergeCell ref="AC5:AD5"/>
    <mergeCell ref="O1:AE1"/>
    <mergeCell ref="S5:T5"/>
    <mergeCell ref="U5:AA5"/>
    <mergeCell ref="Y6:Z6"/>
    <mergeCell ref="N6:R6"/>
    <mergeCell ref="D6:G6"/>
    <mergeCell ref="B30:C30"/>
    <mergeCell ref="L6:M6"/>
    <mergeCell ref="S6:T6"/>
    <mergeCell ref="U6:X6"/>
  </mergeCells>
  <conditionalFormatting sqref="D10:AC30">
    <cfRule type="cellIs" dxfId="1" priority="1" operator="equal">
      <formula>0</formula>
    </cfRule>
  </conditionalFormatting>
  <dataValidations xWindow="882" yWindow="495" count="8">
    <dataValidation type="list" allowBlank="1" showInputMessage="1" showErrorMessage="1" sqref="JJ8:JM8 TF8:TI8 ADB8:ADE8 AMX8:ANA8 AWT8:AWW8 BGP8:BGS8 BQL8:BQO8 CAH8:CAK8 CKD8:CKG8 CTZ8:CUC8 DDV8:DDY8 DNR8:DNU8 DXN8:DXQ8 EHJ8:EHM8 ERF8:ERI8 FBB8:FBE8 FKX8:FLA8 FUT8:FUW8 GEP8:GES8 GOL8:GOO8 GYH8:GYK8 HID8:HIG8 HRZ8:HSC8 IBV8:IBY8 ILR8:ILU8 IVN8:IVQ8 JFJ8:JFM8 JPF8:JPI8 JZB8:JZE8 KIX8:KJA8 KST8:KSW8 LCP8:LCS8 LML8:LMO8 LWH8:LWK8 MGD8:MGG8 MPZ8:MQC8 MZV8:MZY8 NJR8:NJU8 NTN8:NTQ8 ODJ8:ODM8 ONF8:ONI8 OXB8:OXE8 PGX8:PHA8 PQT8:PQW8 QAP8:QAS8 QKL8:QKO8 QUH8:QUK8 RED8:REG8 RNZ8:ROC8 RXV8:RXY8 SHR8:SHU8 SRN8:SRQ8 TBJ8:TBM8 TLF8:TLI8 TVB8:TVE8 UEX8:UFA8 UOT8:UOW8 UYP8:UYS8 VIL8:VIO8 VSH8:VSK8 WCD8:WCG8 WLZ8:WMC8 WVV8:WVY8 WVV983049:WVY983049 WLZ983049:WMC983049 WCD983049:WCG983049 VSH983049:VSK983049 VIL983049:VIO983049 UYP983049:UYS983049 UOT983049:UOW983049 UEX983049:UFA983049 TVB983049:TVE983049 TLF983049:TLI983049 TBJ983049:TBM983049 SRN983049:SRQ983049 SHR983049:SHU983049 RXV983049:RXY983049 RNZ983049:ROC983049 RED983049:REG983049 QUH983049:QUK983049 QKL983049:QKO983049 QAP983049:QAS983049 PQT983049:PQW983049 PGX983049:PHA983049 OXB983049:OXE983049 ONF983049:ONI983049 ODJ983049:ODM983049 NTN983049:NTQ983049 NJR983049:NJU983049 MZV983049:MZY983049 MPZ983049:MQC983049 MGD983049:MGG983049 LWH983049:LWK983049 LML983049:LMO983049 LCP983049:LCS983049 KST983049:KSW983049 KIX983049:KJA983049 JZB983049:JZE983049 JPF983049:JPI983049 JFJ983049:JFM983049 IVN983049:IVQ983049 ILR983049:ILU983049 IBV983049:IBY983049 HRZ983049:HSC983049 HID983049:HIG983049 GYH983049:GYK983049 GOL983049:GOO983049 GEP983049:GES983049 FUT983049:FUW983049 FKX983049:FLA983049 FBB983049:FBE983049 ERF983049:ERI983049 EHJ983049:EHM983049 DXN983049:DXQ983049 DNR983049:DNU983049 DDV983049:DDY983049 CTZ983049:CUC983049 CKD983049:CKG983049 CAH983049:CAK983049 BQL983049:BQO983049 BGP983049:BGS983049 AWT983049:AWW983049 AMX983049:ANA983049 ADB983049:ADE983049 TF983049:TI983049 JJ983049:JM983049 G983049:J983049 WVV917513:WVY917513 WLZ917513:WMC917513 WCD917513:WCG917513 VSH917513:VSK917513 VIL917513:VIO917513 UYP917513:UYS917513 UOT917513:UOW917513 UEX917513:UFA917513 TVB917513:TVE917513 TLF917513:TLI917513 TBJ917513:TBM917513 SRN917513:SRQ917513 SHR917513:SHU917513 RXV917513:RXY917513 RNZ917513:ROC917513 RED917513:REG917513 QUH917513:QUK917513 QKL917513:QKO917513 QAP917513:QAS917513 PQT917513:PQW917513 PGX917513:PHA917513 OXB917513:OXE917513 ONF917513:ONI917513 ODJ917513:ODM917513 NTN917513:NTQ917513 NJR917513:NJU917513 MZV917513:MZY917513 MPZ917513:MQC917513 MGD917513:MGG917513 LWH917513:LWK917513 LML917513:LMO917513 LCP917513:LCS917513 KST917513:KSW917513 KIX917513:KJA917513 JZB917513:JZE917513 JPF917513:JPI917513 JFJ917513:JFM917513 IVN917513:IVQ917513 ILR917513:ILU917513 IBV917513:IBY917513 HRZ917513:HSC917513 HID917513:HIG917513 GYH917513:GYK917513 GOL917513:GOO917513 GEP917513:GES917513 FUT917513:FUW917513 FKX917513:FLA917513 FBB917513:FBE917513 ERF917513:ERI917513 EHJ917513:EHM917513 DXN917513:DXQ917513 DNR917513:DNU917513 DDV917513:DDY917513 CTZ917513:CUC917513 CKD917513:CKG917513 CAH917513:CAK917513 BQL917513:BQO917513 BGP917513:BGS917513 AWT917513:AWW917513 AMX917513:ANA917513 ADB917513:ADE917513 TF917513:TI917513 JJ917513:JM917513 G917513:J917513 WVV851977:WVY851977 WLZ851977:WMC851977 WCD851977:WCG851977 VSH851977:VSK851977 VIL851977:VIO851977 UYP851977:UYS851977 UOT851977:UOW851977 UEX851977:UFA851977 TVB851977:TVE851977 TLF851977:TLI851977 TBJ851977:TBM851977 SRN851977:SRQ851977 SHR851977:SHU851977 RXV851977:RXY851977 RNZ851977:ROC851977 RED851977:REG851977 QUH851977:QUK851977 QKL851977:QKO851977 QAP851977:QAS851977 PQT851977:PQW851977 PGX851977:PHA851977 OXB851977:OXE851977 ONF851977:ONI851977 ODJ851977:ODM851977 NTN851977:NTQ851977 NJR851977:NJU851977 MZV851977:MZY851977 MPZ851977:MQC851977 MGD851977:MGG851977 LWH851977:LWK851977 LML851977:LMO851977 LCP851977:LCS851977 KST851977:KSW851977 KIX851977:KJA851977 JZB851977:JZE851977 JPF851977:JPI851977 JFJ851977:JFM851977 IVN851977:IVQ851977 ILR851977:ILU851977 IBV851977:IBY851977 HRZ851977:HSC851977 HID851977:HIG851977 GYH851977:GYK851977 GOL851977:GOO851977 GEP851977:GES851977 FUT851977:FUW851977 FKX851977:FLA851977 FBB851977:FBE851977 ERF851977:ERI851977 EHJ851977:EHM851977 DXN851977:DXQ851977 DNR851977:DNU851977 DDV851977:DDY851977 CTZ851977:CUC851977 CKD851977:CKG851977 CAH851977:CAK851977 BQL851977:BQO851977 BGP851977:BGS851977 AWT851977:AWW851977 AMX851977:ANA851977 ADB851977:ADE851977 TF851977:TI851977 JJ851977:JM851977 G851977:J851977 WVV786441:WVY786441 WLZ786441:WMC786441 WCD786441:WCG786441 VSH786441:VSK786441 VIL786441:VIO786441 UYP786441:UYS786441 UOT786441:UOW786441 UEX786441:UFA786441 TVB786441:TVE786441 TLF786441:TLI786441 TBJ786441:TBM786441 SRN786441:SRQ786441 SHR786441:SHU786441 RXV786441:RXY786441 RNZ786441:ROC786441 RED786441:REG786441 QUH786441:QUK786441 QKL786441:QKO786441 QAP786441:QAS786441 PQT786441:PQW786441 PGX786441:PHA786441 OXB786441:OXE786441 ONF786441:ONI786441 ODJ786441:ODM786441 NTN786441:NTQ786441 NJR786441:NJU786441 MZV786441:MZY786441 MPZ786441:MQC786441 MGD786441:MGG786441 LWH786441:LWK786441 LML786441:LMO786441 LCP786441:LCS786441 KST786441:KSW786441 KIX786441:KJA786441 JZB786441:JZE786441 JPF786441:JPI786441 JFJ786441:JFM786441 IVN786441:IVQ786441 ILR786441:ILU786441 IBV786441:IBY786441 HRZ786441:HSC786441 HID786441:HIG786441 GYH786441:GYK786441 GOL786441:GOO786441 GEP786441:GES786441 FUT786441:FUW786441 FKX786441:FLA786441 FBB786441:FBE786441 ERF786441:ERI786441 EHJ786441:EHM786441 DXN786441:DXQ786441 DNR786441:DNU786441 DDV786441:DDY786441 CTZ786441:CUC786441 CKD786441:CKG786441 CAH786441:CAK786441 BQL786441:BQO786441 BGP786441:BGS786441 AWT786441:AWW786441 AMX786441:ANA786441 ADB786441:ADE786441 TF786441:TI786441 JJ786441:JM786441 G786441:J786441 WVV720905:WVY720905 WLZ720905:WMC720905 WCD720905:WCG720905 VSH720905:VSK720905 VIL720905:VIO720905 UYP720905:UYS720905 UOT720905:UOW720905 UEX720905:UFA720905 TVB720905:TVE720905 TLF720905:TLI720905 TBJ720905:TBM720905 SRN720905:SRQ720905 SHR720905:SHU720905 RXV720905:RXY720905 RNZ720905:ROC720905 RED720905:REG720905 QUH720905:QUK720905 QKL720905:QKO720905 QAP720905:QAS720905 PQT720905:PQW720905 PGX720905:PHA720905 OXB720905:OXE720905 ONF720905:ONI720905 ODJ720905:ODM720905 NTN720905:NTQ720905 NJR720905:NJU720905 MZV720905:MZY720905 MPZ720905:MQC720905 MGD720905:MGG720905 LWH720905:LWK720905 LML720905:LMO720905 LCP720905:LCS720905 KST720905:KSW720905 KIX720905:KJA720905 JZB720905:JZE720905 JPF720905:JPI720905 JFJ720905:JFM720905 IVN720905:IVQ720905 ILR720905:ILU720905 IBV720905:IBY720905 HRZ720905:HSC720905 HID720905:HIG720905 GYH720905:GYK720905 GOL720905:GOO720905 GEP720905:GES720905 FUT720905:FUW720905 FKX720905:FLA720905 FBB720905:FBE720905 ERF720905:ERI720905 EHJ720905:EHM720905 DXN720905:DXQ720905 DNR720905:DNU720905 DDV720905:DDY720905 CTZ720905:CUC720905 CKD720905:CKG720905 CAH720905:CAK720905 BQL720905:BQO720905 BGP720905:BGS720905 AWT720905:AWW720905 AMX720905:ANA720905 ADB720905:ADE720905 TF720905:TI720905 JJ720905:JM720905 G720905:J720905 WVV655369:WVY655369 WLZ655369:WMC655369 WCD655369:WCG655369 VSH655369:VSK655369 VIL655369:VIO655369 UYP655369:UYS655369 UOT655369:UOW655369 UEX655369:UFA655369 TVB655369:TVE655369 TLF655369:TLI655369 TBJ655369:TBM655369 SRN655369:SRQ655369 SHR655369:SHU655369 RXV655369:RXY655369 RNZ655369:ROC655369 RED655369:REG655369 QUH655369:QUK655369 QKL655369:QKO655369 QAP655369:QAS655369 PQT655369:PQW655369 PGX655369:PHA655369 OXB655369:OXE655369 ONF655369:ONI655369 ODJ655369:ODM655369 NTN655369:NTQ655369 NJR655369:NJU655369 MZV655369:MZY655369 MPZ655369:MQC655369 MGD655369:MGG655369 LWH655369:LWK655369 LML655369:LMO655369 LCP655369:LCS655369 KST655369:KSW655369 KIX655369:KJA655369 JZB655369:JZE655369 JPF655369:JPI655369 JFJ655369:JFM655369 IVN655369:IVQ655369 ILR655369:ILU655369 IBV655369:IBY655369 HRZ655369:HSC655369 HID655369:HIG655369 GYH655369:GYK655369 GOL655369:GOO655369 GEP655369:GES655369 FUT655369:FUW655369 FKX655369:FLA655369 FBB655369:FBE655369 ERF655369:ERI655369 EHJ655369:EHM655369 DXN655369:DXQ655369 DNR655369:DNU655369 DDV655369:DDY655369 CTZ655369:CUC655369 CKD655369:CKG655369 CAH655369:CAK655369 BQL655369:BQO655369 BGP655369:BGS655369 AWT655369:AWW655369 AMX655369:ANA655369 ADB655369:ADE655369 TF655369:TI655369 JJ655369:JM655369 G655369:J655369 WVV589833:WVY589833 WLZ589833:WMC589833 WCD589833:WCG589833 VSH589833:VSK589833 VIL589833:VIO589833 UYP589833:UYS589833 UOT589833:UOW589833 UEX589833:UFA589833 TVB589833:TVE589833 TLF589833:TLI589833 TBJ589833:TBM589833 SRN589833:SRQ589833 SHR589833:SHU589833 RXV589833:RXY589833 RNZ589833:ROC589833 RED589833:REG589833 QUH589833:QUK589833 QKL589833:QKO589833 QAP589833:QAS589833 PQT589833:PQW589833 PGX589833:PHA589833 OXB589833:OXE589833 ONF589833:ONI589833 ODJ589833:ODM589833 NTN589833:NTQ589833 NJR589833:NJU589833 MZV589833:MZY589833 MPZ589833:MQC589833 MGD589833:MGG589833 LWH589833:LWK589833 LML589833:LMO589833 LCP589833:LCS589833 KST589833:KSW589833 KIX589833:KJA589833 JZB589833:JZE589833 JPF589833:JPI589833 JFJ589833:JFM589833 IVN589833:IVQ589833 ILR589833:ILU589833 IBV589833:IBY589833 HRZ589833:HSC589833 HID589833:HIG589833 GYH589833:GYK589833 GOL589833:GOO589833 GEP589833:GES589833 FUT589833:FUW589833 FKX589833:FLA589833 FBB589833:FBE589833 ERF589833:ERI589833 EHJ589833:EHM589833 DXN589833:DXQ589833 DNR589833:DNU589833 DDV589833:DDY589833 CTZ589833:CUC589833 CKD589833:CKG589833 CAH589833:CAK589833 BQL589833:BQO589833 BGP589833:BGS589833 AWT589833:AWW589833 AMX589833:ANA589833 ADB589833:ADE589833 TF589833:TI589833 JJ589833:JM589833 G589833:J589833 WVV524297:WVY524297 WLZ524297:WMC524297 WCD524297:WCG524297 VSH524297:VSK524297 VIL524297:VIO524297 UYP524297:UYS524297 UOT524297:UOW524297 UEX524297:UFA524297 TVB524297:TVE524297 TLF524297:TLI524297 TBJ524297:TBM524297 SRN524297:SRQ524297 SHR524297:SHU524297 RXV524297:RXY524297 RNZ524297:ROC524297 RED524297:REG524297 QUH524297:QUK524297 QKL524297:QKO524297 QAP524297:QAS524297 PQT524297:PQW524297 PGX524297:PHA524297 OXB524297:OXE524297 ONF524297:ONI524297 ODJ524297:ODM524297 NTN524297:NTQ524297 NJR524297:NJU524297 MZV524297:MZY524297 MPZ524297:MQC524297 MGD524297:MGG524297 LWH524297:LWK524297 LML524297:LMO524297 LCP524297:LCS524297 KST524297:KSW524297 KIX524297:KJA524297 JZB524297:JZE524297 JPF524297:JPI524297 JFJ524297:JFM524297 IVN524297:IVQ524297 ILR524297:ILU524297 IBV524297:IBY524297 HRZ524297:HSC524297 HID524297:HIG524297 GYH524297:GYK524297 GOL524297:GOO524297 GEP524297:GES524297 FUT524297:FUW524297 FKX524297:FLA524297 FBB524297:FBE524297 ERF524297:ERI524297 EHJ524297:EHM524297 DXN524297:DXQ524297 DNR524297:DNU524297 DDV524297:DDY524297 CTZ524297:CUC524297 CKD524297:CKG524297 CAH524297:CAK524297 BQL524297:BQO524297 BGP524297:BGS524297 AWT524297:AWW524297 AMX524297:ANA524297 ADB524297:ADE524297 TF524297:TI524297 JJ524297:JM524297 G524297:J524297 WVV458761:WVY458761 WLZ458761:WMC458761 WCD458761:WCG458761 VSH458761:VSK458761 VIL458761:VIO458761 UYP458761:UYS458761 UOT458761:UOW458761 UEX458761:UFA458761 TVB458761:TVE458761 TLF458761:TLI458761 TBJ458761:TBM458761 SRN458761:SRQ458761 SHR458761:SHU458761 RXV458761:RXY458761 RNZ458761:ROC458761 RED458761:REG458761 QUH458761:QUK458761 QKL458761:QKO458761 QAP458761:QAS458761 PQT458761:PQW458761 PGX458761:PHA458761 OXB458761:OXE458761 ONF458761:ONI458761 ODJ458761:ODM458761 NTN458761:NTQ458761 NJR458761:NJU458761 MZV458761:MZY458761 MPZ458761:MQC458761 MGD458761:MGG458761 LWH458761:LWK458761 LML458761:LMO458761 LCP458761:LCS458761 KST458761:KSW458761 KIX458761:KJA458761 JZB458761:JZE458761 JPF458761:JPI458761 JFJ458761:JFM458761 IVN458761:IVQ458761 ILR458761:ILU458761 IBV458761:IBY458761 HRZ458761:HSC458761 HID458761:HIG458761 GYH458761:GYK458761 GOL458761:GOO458761 GEP458761:GES458761 FUT458761:FUW458761 FKX458761:FLA458761 FBB458761:FBE458761 ERF458761:ERI458761 EHJ458761:EHM458761 DXN458761:DXQ458761 DNR458761:DNU458761 DDV458761:DDY458761 CTZ458761:CUC458761 CKD458761:CKG458761 CAH458761:CAK458761 BQL458761:BQO458761 BGP458761:BGS458761 AWT458761:AWW458761 AMX458761:ANA458761 ADB458761:ADE458761 TF458761:TI458761 JJ458761:JM458761 G458761:J458761 WVV393225:WVY393225 WLZ393225:WMC393225 WCD393225:WCG393225 VSH393225:VSK393225 VIL393225:VIO393225 UYP393225:UYS393225 UOT393225:UOW393225 UEX393225:UFA393225 TVB393225:TVE393225 TLF393225:TLI393225 TBJ393225:TBM393225 SRN393225:SRQ393225 SHR393225:SHU393225 RXV393225:RXY393225 RNZ393225:ROC393225 RED393225:REG393225 QUH393225:QUK393225 QKL393225:QKO393225 QAP393225:QAS393225 PQT393225:PQW393225 PGX393225:PHA393225 OXB393225:OXE393225 ONF393225:ONI393225 ODJ393225:ODM393225 NTN393225:NTQ393225 NJR393225:NJU393225 MZV393225:MZY393225 MPZ393225:MQC393225 MGD393225:MGG393225 LWH393225:LWK393225 LML393225:LMO393225 LCP393225:LCS393225 KST393225:KSW393225 KIX393225:KJA393225 JZB393225:JZE393225 JPF393225:JPI393225 JFJ393225:JFM393225 IVN393225:IVQ393225 ILR393225:ILU393225 IBV393225:IBY393225 HRZ393225:HSC393225 HID393225:HIG393225 GYH393225:GYK393225 GOL393225:GOO393225 GEP393225:GES393225 FUT393225:FUW393225 FKX393225:FLA393225 FBB393225:FBE393225 ERF393225:ERI393225 EHJ393225:EHM393225 DXN393225:DXQ393225 DNR393225:DNU393225 DDV393225:DDY393225 CTZ393225:CUC393225 CKD393225:CKG393225 CAH393225:CAK393225 BQL393225:BQO393225 BGP393225:BGS393225 AWT393225:AWW393225 AMX393225:ANA393225 ADB393225:ADE393225 TF393225:TI393225 JJ393225:JM393225 G393225:J393225 WVV327689:WVY327689 WLZ327689:WMC327689 WCD327689:WCG327689 VSH327689:VSK327689 VIL327689:VIO327689 UYP327689:UYS327689 UOT327689:UOW327689 UEX327689:UFA327689 TVB327689:TVE327689 TLF327689:TLI327689 TBJ327689:TBM327689 SRN327689:SRQ327689 SHR327689:SHU327689 RXV327689:RXY327689 RNZ327689:ROC327689 RED327689:REG327689 QUH327689:QUK327689 QKL327689:QKO327689 QAP327689:QAS327689 PQT327689:PQW327689 PGX327689:PHA327689 OXB327689:OXE327689 ONF327689:ONI327689 ODJ327689:ODM327689 NTN327689:NTQ327689 NJR327689:NJU327689 MZV327689:MZY327689 MPZ327689:MQC327689 MGD327689:MGG327689 LWH327689:LWK327689 LML327689:LMO327689 LCP327689:LCS327689 KST327689:KSW327689 KIX327689:KJA327689 JZB327689:JZE327689 JPF327689:JPI327689 JFJ327689:JFM327689 IVN327689:IVQ327689 ILR327689:ILU327689 IBV327689:IBY327689 HRZ327689:HSC327689 HID327689:HIG327689 GYH327689:GYK327689 GOL327689:GOO327689 GEP327689:GES327689 FUT327689:FUW327689 FKX327689:FLA327689 FBB327689:FBE327689 ERF327689:ERI327689 EHJ327689:EHM327689 DXN327689:DXQ327689 DNR327689:DNU327689 DDV327689:DDY327689 CTZ327689:CUC327689 CKD327689:CKG327689 CAH327689:CAK327689 BQL327689:BQO327689 BGP327689:BGS327689 AWT327689:AWW327689 AMX327689:ANA327689 ADB327689:ADE327689 TF327689:TI327689 JJ327689:JM327689 G327689:J327689 WVV262153:WVY262153 WLZ262153:WMC262153 WCD262153:WCG262153 VSH262153:VSK262153 VIL262153:VIO262153 UYP262153:UYS262153 UOT262153:UOW262153 UEX262153:UFA262153 TVB262153:TVE262153 TLF262153:TLI262153 TBJ262153:TBM262153 SRN262153:SRQ262153 SHR262153:SHU262153 RXV262153:RXY262153 RNZ262153:ROC262153 RED262153:REG262153 QUH262153:QUK262153 QKL262153:QKO262153 QAP262153:QAS262153 PQT262153:PQW262153 PGX262153:PHA262153 OXB262153:OXE262153 ONF262153:ONI262153 ODJ262153:ODM262153 NTN262153:NTQ262153 NJR262153:NJU262153 MZV262153:MZY262153 MPZ262153:MQC262153 MGD262153:MGG262153 LWH262153:LWK262153 LML262153:LMO262153 LCP262153:LCS262153 KST262153:KSW262153 KIX262153:KJA262153 JZB262153:JZE262153 JPF262153:JPI262153 JFJ262153:JFM262153 IVN262153:IVQ262153 ILR262153:ILU262153 IBV262153:IBY262153 HRZ262153:HSC262153 HID262153:HIG262153 GYH262153:GYK262153 GOL262153:GOO262153 GEP262153:GES262153 FUT262153:FUW262153 FKX262153:FLA262153 FBB262153:FBE262153 ERF262153:ERI262153 EHJ262153:EHM262153 DXN262153:DXQ262153 DNR262153:DNU262153 DDV262153:DDY262153 CTZ262153:CUC262153 CKD262153:CKG262153 CAH262153:CAK262153 BQL262153:BQO262153 BGP262153:BGS262153 AWT262153:AWW262153 AMX262153:ANA262153 ADB262153:ADE262153 TF262153:TI262153 JJ262153:JM262153 G262153:J262153 WVV196617:WVY196617 WLZ196617:WMC196617 WCD196617:WCG196617 VSH196617:VSK196617 VIL196617:VIO196617 UYP196617:UYS196617 UOT196617:UOW196617 UEX196617:UFA196617 TVB196617:TVE196617 TLF196617:TLI196617 TBJ196617:TBM196617 SRN196617:SRQ196617 SHR196617:SHU196617 RXV196617:RXY196617 RNZ196617:ROC196617 RED196617:REG196617 QUH196617:QUK196617 QKL196617:QKO196617 QAP196617:QAS196617 PQT196617:PQW196617 PGX196617:PHA196617 OXB196617:OXE196617 ONF196617:ONI196617 ODJ196617:ODM196617 NTN196617:NTQ196617 NJR196617:NJU196617 MZV196617:MZY196617 MPZ196617:MQC196617 MGD196617:MGG196617 LWH196617:LWK196617 LML196617:LMO196617 LCP196617:LCS196617 KST196617:KSW196617 KIX196617:KJA196617 JZB196617:JZE196617 JPF196617:JPI196617 JFJ196617:JFM196617 IVN196617:IVQ196617 ILR196617:ILU196617 IBV196617:IBY196617 HRZ196617:HSC196617 HID196617:HIG196617 GYH196617:GYK196617 GOL196617:GOO196617 GEP196617:GES196617 FUT196617:FUW196617 FKX196617:FLA196617 FBB196617:FBE196617 ERF196617:ERI196617 EHJ196617:EHM196617 DXN196617:DXQ196617 DNR196617:DNU196617 DDV196617:DDY196617 CTZ196617:CUC196617 CKD196617:CKG196617 CAH196617:CAK196617 BQL196617:BQO196617 BGP196617:BGS196617 AWT196617:AWW196617 AMX196617:ANA196617 ADB196617:ADE196617 TF196617:TI196617 JJ196617:JM196617 G196617:J196617 WVV131081:WVY131081 WLZ131081:WMC131081 WCD131081:WCG131081 VSH131081:VSK131081 VIL131081:VIO131081 UYP131081:UYS131081 UOT131081:UOW131081 UEX131081:UFA131081 TVB131081:TVE131081 TLF131081:TLI131081 TBJ131081:TBM131081 SRN131081:SRQ131081 SHR131081:SHU131081 RXV131081:RXY131081 RNZ131081:ROC131081 RED131081:REG131081 QUH131081:QUK131081 QKL131081:QKO131081 QAP131081:QAS131081 PQT131081:PQW131081 PGX131081:PHA131081 OXB131081:OXE131081 ONF131081:ONI131081 ODJ131081:ODM131081 NTN131081:NTQ131081 NJR131081:NJU131081 MZV131081:MZY131081 MPZ131081:MQC131081 MGD131081:MGG131081 LWH131081:LWK131081 LML131081:LMO131081 LCP131081:LCS131081 KST131081:KSW131081 KIX131081:KJA131081 JZB131081:JZE131081 JPF131081:JPI131081 JFJ131081:JFM131081 IVN131081:IVQ131081 ILR131081:ILU131081 IBV131081:IBY131081 HRZ131081:HSC131081 HID131081:HIG131081 GYH131081:GYK131081 GOL131081:GOO131081 GEP131081:GES131081 FUT131081:FUW131081 FKX131081:FLA131081 FBB131081:FBE131081 ERF131081:ERI131081 EHJ131081:EHM131081 DXN131081:DXQ131081 DNR131081:DNU131081 DDV131081:DDY131081 CTZ131081:CUC131081 CKD131081:CKG131081 CAH131081:CAK131081 BQL131081:BQO131081 BGP131081:BGS131081 AWT131081:AWW131081 AMX131081:ANA131081 ADB131081:ADE131081 TF131081:TI131081 JJ131081:JM131081 G131081:J131081 WVV65545:WVY65545 WLZ65545:WMC65545 WCD65545:WCG65545 VSH65545:VSK65545 VIL65545:VIO65545 UYP65545:UYS65545 UOT65545:UOW65545 UEX65545:UFA65545 TVB65545:TVE65545 TLF65545:TLI65545 TBJ65545:TBM65545 SRN65545:SRQ65545 SHR65545:SHU65545 RXV65545:RXY65545 RNZ65545:ROC65545 RED65545:REG65545 QUH65545:QUK65545 QKL65545:QKO65545 QAP65545:QAS65545 PQT65545:PQW65545 PGX65545:PHA65545 OXB65545:OXE65545 ONF65545:ONI65545 ODJ65545:ODM65545 NTN65545:NTQ65545 NJR65545:NJU65545 MZV65545:MZY65545 MPZ65545:MQC65545 MGD65545:MGG65545 LWH65545:LWK65545 LML65545:LMO65545 LCP65545:LCS65545 KST65545:KSW65545 KIX65545:KJA65545 JZB65545:JZE65545 JPF65545:JPI65545 JFJ65545:JFM65545 IVN65545:IVQ65545 ILR65545:ILU65545 IBV65545:IBY65545 HRZ65545:HSC65545 HID65545:HIG65545 GYH65545:GYK65545 GOL65545:GOO65545 GEP65545:GES65545 FUT65545:FUW65545 FKX65545:FLA65545 FBB65545:FBE65545 ERF65545:ERI65545 EHJ65545:EHM65545 DXN65545:DXQ65545 DNR65545:DNU65545 DDV65545:DDY65545 CTZ65545:CUC65545 CKD65545:CKG65545 CAH65545:CAK65545 BQL65545:BQO65545 BGP65545:BGS65545 AWT65545:AWW65545 AMX65545:ANA65545 ADB65545:ADE65545 TF65545:TI65545 JJ65545:JM65545 G65545:J65545 I8" xr:uid="{00000000-0002-0000-0500-000000000000}">
      <formula1>$AR$3:$AR7</formula1>
    </dataValidation>
    <dataValidation type="list" allowBlank="1" showInputMessage="1" showErrorMessage="1" sqref="WVX983047 WMB983047 WCF983047 VSJ983047 VIN983047 UYR983047 UOV983047 UEZ983047 TVD983047 TLH983047 TBL983047 SRP983047 SHT983047 RXX983047 ROB983047 REF983047 QUJ983047 QKN983047 QAR983047 PQV983047 PGZ983047 OXD983047 ONH983047 ODL983047 NTP983047 NJT983047 MZX983047 MQB983047 MGF983047 LWJ983047 LMN983047 LCR983047 KSV983047 KIZ983047 JZD983047 JPH983047 JFL983047 IVP983047 ILT983047 IBX983047 HSB983047 HIF983047 GYJ983047 GON983047 GER983047 FUV983047 FKZ983047 FBD983047 ERH983047 EHL983047 DXP983047 DNT983047 DDX983047 CUB983047 CKF983047 CAJ983047 BQN983047 BGR983047 AWV983047 AMZ983047 ADD983047 TH983047 JL983047 I983047 WVX917511 WMB917511 WCF917511 VSJ917511 VIN917511 UYR917511 UOV917511 UEZ917511 TVD917511 TLH917511 TBL917511 SRP917511 SHT917511 RXX917511 ROB917511 REF917511 QUJ917511 QKN917511 QAR917511 PQV917511 PGZ917511 OXD917511 ONH917511 ODL917511 NTP917511 NJT917511 MZX917511 MQB917511 MGF917511 LWJ917511 LMN917511 LCR917511 KSV917511 KIZ917511 JZD917511 JPH917511 JFL917511 IVP917511 ILT917511 IBX917511 HSB917511 HIF917511 GYJ917511 GON917511 GER917511 FUV917511 FKZ917511 FBD917511 ERH917511 EHL917511 DXP917511 DNT917511 DDX917511 CUB917511 CKF917511 CAJ917511 BQN917511 BGR917511 AWV917511 AMZ917511 ADD917511 TH917511 JL917511 I917511 WVX851975 WMB851975 WCF851975 VSJ851975 VIN851975 UYR851975 UOV851975 UEZ851975 TVD851975 TLH851975 TBL851975 SRP851975 SHT851975 RXX851975 ROB851975 REF851975 QUJ851975 QKN851975 QAR851975 PQV851975 PGZ851975 OXD851975 ONH851975 ODL851975 NTP851975 NJT851975 MZX851975 MQB851975 MGF851975 LWJ851975 LMN851975 LCR851975 KSV851975 KIZ851975 JZD851975 JPH851975 JFL851975 IVP851975 ILT851975 IBX851975 HSB851975 HIF851975 GYJ851975 GON851975 GER851975 FUV851975 FKZ851975 FBD851975 ERH851975 EHL851975 DXP851975 DNT851975 DDX851975 CUB851975 CKF851975 CAJ851975 BQN851975 BGR851975 AWV851975 AMZ851975 ADD851975 TH851975 JL851975 I851975 WVX786439 WMB786439 WCF786439 VSJ786439 VIN786439 UYR786439 UOV786439 UEZ786439 TVD786439 TLH786439 TBL786439 SRP786439 SHT786439 RXX786439 ROB786439 REF786439 QUJ786439 QKN786439 QAR786439 PQV786439 PGZ786439 OXD786439 ONH786439 ODL786439 NTP786439 NJT786439 MZX786439 MQB786439 MGF786439 LWJ786439 LMN786439 LCR786439 KSV786439 KIZ786439 JZD786439 JPH786439 JFL786439 IVP786439 ILT786439 IBX786439 HSB786439 HIF786439 GYJ786439 GON786439 GER786439 FUV786439 FKZ786439 FBD786439 ERH786439 EHL786439 DXP786439 DNT786439 DDX786439 CUB786439 CKF786439 CAJ786439 BQN786439 BGR786439 AWV786439 AMZ786439 ADD786439 TH786439 JL786439 I786439 WVX720903 WMB720903 WCF720903 VSJ720903 VIN720903 UYR720903 UOV720903 UEZ720903 TVD720903 TLH720903 TBL720903 SRP720903 SHT720903 RXX720903 ROB720903 REF720903 QUJ720903 QKN720903 QAR720903 PQV720903 PGZ720903 OXD720903 ONH720903 ODL720903 NTP720903 NJT720903 MZX720903 MQB720903 MGF720903 LWJ720903 LMN720903 LCR720903 KSV720903 KIZ720903 JZD720903 JPH720903 JFL720903 IVP720903 ILT720903 IBX720903 HSB720903 HIF720903 GYJ720903 GON720903 GER720903 FUV720903 FKZ720903 FBD720903 ERH720903 EHL720903 DXP720903 DNT720903 DDX720903 CUB720903 CKF720903 CAJ720903 BQN720903 BGR720903 AWV720903 AMZ720903 ADD720903 TH720903 JL720903 I720903 WVX655367 WMB655367 WCF655367 VSJ655367 VIN655367 UYR655367 UOV655367 UEZ655367 TVD655367 TLH655367 TBL655367 SRP655367 SHT655367 RXX655367 ROB655367 REF655367 QUJ655367 QKN655367 QAR655367 PQV655367 PGZ655367 OXD655367 ONH655367 ODL655367 NTP655367 NJT655367 MZX655367 MQB655367 MGF655367 LWJ655367 LMN655367 LCR655367 KSV655367 KIZ655367 JZD655367 JPH655367 JFL655367 IVP655367 ILT655367 IBX655367 HSB655367 HIF655367 GYJ655367 GON655367 GER655367 FUV655367 FKZ655367 FBD655367 ERH655367 EHL655367 DXP655367 DNT655367 DDX655367 CUB655367 CKF655367 CAJ655367 BQN655367 BGR655367 AWV655367 AMZ655367 ADD655367 TH655367 JL655367 I655367 WVX589831 WMB589831 WCF589831 VSJ589831 VIN589831 UYR589831 UOV589831 UEZ589831 TVD589831 TLH589831 TBL589831 SRP589831 SHT589831 RXX589831 ROB589831 REF589831 QUJ589831 QKN589831 QAR589831 PQV589831 PGZ589831 OXD589831 ONH589831 ODL589831 NTP589831 NJT589831 MZX589831 MQB589831 MGF589831 LWJ589831 LMN589831 LCR589831 KSV589831 KIZ589831 JZD589831 JPH589831 JFL589831 IVP589831 ILT589831 IBX589831 HSB589831 HIF589831 GYJ589831 GON589831 GER589831 FUV589831 FKZ589831 FBD589831 ERH589831 EHL589831 DXP589831 DNT589831 DDX589831 CUB589831 CKF589831 CAJ589831 BQN589831 BGR589831 AWV589831 AMZ589831 ADD589831 TH589831 JL589831 I589831 WVX524295 WMB524295 WCF524295 VSJ524295 VIN524295 UYR524295 UOV524295 UEZ524295 TVD524295 TLH524295 TBL524295 SRP524295 SHT524295 RXX524295 ROB524295 REF524295 QUJ524295 QKN524295 QAR524295 PQV524295 PGZ524295 OXD524295 ONH524295 ODL524295 NTP524295 NJT524295 MZX524295 MQB524295 MGF524295 LWJ524295 LMN524295 LCR524295 KSV524295 KIZ524295 JZD524295 JPH524295 JFL524295 IVP524295 ILT524295 IBX524295 HSB524295 HIF524295 GYJ524295 GON524295 GER524295 FUV524295 FKZ524295 FBD524295 ERH524295 EHL524295 DXP524295 DNT524295 DDX524295 CUB524295 CKF524295 CAJ524295 BQN524295 BGR524295 AWV524295 AMZ524295 ADD524295 TH524295 JL524295 I524295 WVX458759 WMB458759 WCF458759 VSJ458759 VIN458759 UYR458759 UOV458759 UEZ458759 TVD458759 TLH458759 TBL458759 SRP458759 SHT458759 RXX458759 ROB458759 REF458759 QUJ458759 QKN458759 QAR458759 PQV458759 PGZ458759 OXD458759 ONH458759 ODL458759 NTP458759 NJT458759 MZX458759 MQB458759 MGF458759 LWJ458759 LMN458759 LCR458759 KSV458759 KIZ458759 JZD458759 JPH458759 JFL458759 IVP458759 ILT458759 IBX458759 HSB458759 HIF458759 GYJ458759 GON458759 GER458759 FUV458759 FKZ458759 FBD458759 ERH458759 EHL458759 DXP458759 DNT458759 DDX458759 CUB458759 CKF458759 CAJ458759 BQN458759 BGR458759 AWV458759 AMZ458759 ADD458759 TH458759 JL458759 I458759 WVX393223 WMB393223 WCF393223 VSJ393223 VIN393223 UYR393223 UOV393223 UEZ393223 TVD393223 TLH393223 TBL393223 SRP393223 SHT393223 RXX393223 ROB393223 REF393223 QUJ393223 QKN393223 QAR393223 PQV393223 PGZ393223 OXD393223 ONH393223 ODL393223 NTP393223 NJT393223 MZX393223 MQB393223 MGF393223 LWJ393223 LMN393223 LCR393223 KSV393223 KIZ393223 JZD393223 JPH393223 JFL393223 IVP393223 ILT393223 IBX393223 HSB393223 HIF393223 GYJ393223 GON393223 GER393223 FUV393223 FKZ393223 FBD393223 ERH393223 EHL393223 DXP393223 DNT393223 DDX393223 CUB393223 CKF393223 CAJ393223 BQN393223 BGR393223 AWV393223 AMZ393223 ADD393223 TH393223 JL393223 I393223 WVX327687 WMB327687 WCF327687 VSJ327687 VIN327687 UYR327687 UOV327687 UEZ327687 TVD327687 TLH327687 TBL327687 SRP327687 SHT327687 RXX327687 ROB327687 REF327687 QUJ327687 QKN327687 QAR327687 PQV327687 PGZ327687 OXD327687 ONH327687 ODL327687 NTP327687 NJT327687 MZX327687 MQB327687 MGF327687 LWJ327687 LMN327687 LCR327687 KSV327687 KIZ327687 JZD327687 JPH327687 JFL327687 IVP327687 ILT327687 IBX327687 HSB327687 HIF327687 GYJ327687 GON327687 GER327687 FUV327687 FKZ327687 FBD327687 ERH327687 EHL327687 DXP327687 DNT327687 DDX327687 CUB327687 CKF327687 CAJ327687 BQN327687 BGR327687 AWV327687 AMZ327687 ADD327687 TH327687 JL327687 I327687 WVX262151 WMB262151 WCF262151 VSJ262151 VIN262151 UYR262151 UOV262151 UEZ262151 TVD262151 TLH262151 TBL262151 SRP262151 SHT262151 RXX262151 ROB262151 REF262151 QUJ262151 QKN262151 QAR262151 PQV262151 PGZ262151 OXD262151 ONH262151 ODL262151 NTP262151 NJT262151 MZX262151 MQB262151 MGF262151 LWJ262151 LMN262151 LCR262151 KSV262151 KIZ262151 JZD262151 JPH262151 JFL262151 IVP262151 ILT262151 IBX262151 HSB262151 HIF262151 GYJ262151 GON262151 GER262151 FUV262151 FKZ262151 FBD262151 ERH262151 EHL262151 DXP262151 DNT262151 DDX262151 CUB262151 CKF262151 CAJ262151 BQN262151 BGR262151 AWV262151 AMZ262151 ADD262151 TH262151 JL262151 I262151 WVX196615 WMB196615 WCF196615 VSJ196615 VIN196615 UYR196615 UOV196615 UEZ196615 TVD196615 TLH196615 TBL196615 SRP196615 SHT196615 RXX196615 ROB196615 REF196615 QUJ196615 QKN196615 QAR196615 PQV196615 PGZ196615 OXD196615 ONH196615 ODL196615 NTP196615 NJT196615 MZX196615 MQB196615 MGF196615 LWJ196615 LMN196615 LCR196615 KSV196615 KIZ196615 JZD196615 JPH196615 JFL196615 IVP196615 ILT196615 IBX196615 HSB196615 HIF196615 GYJ196615 GON196615 GER196615 FUV196615 FKZ196615 FBD196615 ERH196615 EHL196615 DXP196615 DNT196615 DDX196615 CUB196615 CKF196615 CAJ196615 BQN196615 BGR196615 AWV196615 AMZ196615 ADD196615 TH196615 JL196615 I196615 WVX131079 WMB131079 WCF131079 VSJ131079 VIN131079 UYR131079 UOV131079 UEZ131079 TVD131079 TLH131079 TBL131079 SRP131079 SHT131079 RXX131079 ROB131079 REF131079 QUJ131079 QKN131079 QAR131079 PQV131079 PGZ131079 OXD131079 ONH131079 ODL131079 NTP131079 NJT131079 MZX131079 MQB131079 MGF131079 LWJ131079 LMN131079 LCR131079 KSV131079 KIZ131079 JZD131079 JPH131079 JFL131079 IVP131079 ILT131079 IBX131079 HSB131079 HIF131079 GYJ131079 GON131079 GER131079 FUV131079 FKZ131079 FBD131079 ERH131079 EHL131079 DXP131079 DNT131079 DDX131079 CUB131079 CKF131079 CAJ131079 BQN131079 BGR131079 AWV131079 AMZ131079 ADD131079 TH131079 JL131079 I131079 WVX65543 WMB65543 WCF65543 VSJ65543 VIN65543 UYR65543 UOV65543 UEZ65543 TVD65543 TLH65543 TBL65543 SRP65543 SHT65543 RXX65543 ROB65543 REF65543 QUJ65543 QKN65543 QAR65543 PQV65543 PGZ65543 OXD65543 ONH65543 ODL65543 NTP65543 NJT65543 MZX65543 MQB65543 MGF65543 LWJ65543 LMN65543 LCR65543 KSV65543 KIZ65543 JZD65543 JPH65543 JFL65543 IVP65543 ILT65543 IBX65543 HSB65543 HIF65543 GYJ65543 GON65543 GER65543 FUV65543 FKZ65543 FBD65543 ERH65543 EHL65543 DXP65543 DNT65543 DDX65543 CUB65543 CKF65543 CAJ65543 BQN65543 BGR65543 AWV65543 AMZ65543 ADD65543 TH65543 JL65543 I65543 WVX6 WMB6 WCF6 VSJ6 VIN6 UYR6 UOV6 UEZ6 TVD6 TLH6 TBL6 SRP6 SHT6 RXX6 ROB6 REF6 QUJ6 QKN6 QAR6 PQV6 PGZ6 OXD6 ONH6 ODL6 NTP6 NJT6 MZX6 MQB6 MGF6 LWJ6 LMN6 LCR6 KSV6 KIZ6 JZD6 JPH6 JFL6 IVP6 ILT6 IBX6 HSB6 HIF6 GYJ6 GON6 GER6 FUV6 FKZ6 FBD6 ERH6 EHL6 DXP6 DNT6 DDX6 CUB6 CKF6 CAJ6 BQN6 BGR6 AWV6 AMZ6 ADD6 TH6 JL6" xr:uid="{00000000-0002-0000-0500-000001000000}">
      <formula1>$AO$2:$AO$5</formula1>
    </dataValidation>
    <dataValidation allowBlank="1" showErrorMessage="1" sqref="AC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AC65542 KC65542 TY65542 ADU65542 ANQ65542 AXM65542 BHI65542 BRE65542 CBA65542 CKW65542 CUS65542 DEO65542 DOK65542 DYG65542 EIC65542 ERY65542 FBU65542 FLQ65542 FVM65542 GFI65542 GPE65542 GZA65542 HIW65542 HSS65542 ICO65542 IMK65542 IWG65542 JGC65542 JPY65542 JZU65542 KJQ65542 KTM65542 LDI65542 LNE65542 LXA65542 MGW65542 MQS65542 NAO65542 NKK65542 NUG65542 OEC65542 ONY65542 OXU65542 PHQ65542 PRM65542 QBI65542 QLE65542 QVA65542 REW65542 ROS65542 RYO65542 SIK65542 SSG65542 TCC65542 TLY65542 TVU65542 UFQ65542 UPM65542 UZI65542 VJE65542 VTA65542 WCW65542 WMS65542 WWO65542 AC131078 KC131078 TY131078 ADU131078 ANQ131078 AXM131078 BHI131078 BRE131078 CBA131078 CKW131078 CUS131078 DEO131078 DOK131078 DYG131078 EIC131078 ERY131078 FBU131078 FLQ131078 FVM131078 GFI131078 GPE131078 GZA131078 HIW131078 HSS131078 ICO131078 IMK131078 IWG131078 JGC131078 JPY131078 JZU131078 KJQ131078 KTM131078 LDI131078 LNE131078 LXA131078 MGW131078 MQS131078 NAO131078 NKK131078 NUG131078 OEC131078 ONY131078 OXU131078 PHQ131078 PRM131078 QBI131078 QLE131078 QVA131078 REW131078 ROS131078 RYO131078 SIK131078 SSG131078 TCC131078 TLY131078 TVU131078 UFQ131078 UPM131078 UZI131078 VJE131078 VTA131078 WCW131078 WMS131078 WWO131078 AC196614 KC196614 TY196614 ADU196614 ANQ196614 AXM196614 BHI196614 BRE196614 CBA196614 CKW196614 CUS196614 DEO196614 DOK196614 DYG196614 EIC196614 ERY196614 FBU196614 FLQ196614 FVM196614 GFI196614 GPE196614 GZA196614 HIW196614 HSS196614 ICO196614 IMK196614 IWG196614 JGC196614 JPY196614 JZU196614 KJQ196614 KTM196614 LDI196614 LNE196614 LXA196614 MGW196614 MQS196614 NAO196614 NKK196614 NUG196614 OEC196614 ONY196614 OXU196614 PHQ196614 PRM196614 QBI196614 QLE196614 QVA196614 REW196614 ROS196614 RYO196614 SIK196614 SSG196614 TCC196614 TLY196614 TVU196614 UFQ196614 UPM196614 UZI196614 VJE196614 VTA196614 WCW196614 WMS196614 WWO196614 AC262150 KC262150 TY262150 ADU262150 ANQ262150 AXM262150 BHI262150 BRE262150 CBA262150 CKW262150 CUS262150 DEO262150 DOK262150 DYG262150 EIC262150 ERY262150 FBU262150 FLQ262150 FVM262150 GFI262150 GPE262150 GZA262150 HIW262150 HSS262150 ICO262150 IMK262150 IWG262150 JGC262150 JPY262150 JZU262150 KJQ262150 KTM262150 LDI262150 LNE262150 LXA262150 MGW262150 MQS262150 NAO262150 NKK262150 NUG262150 OEC262150 ONY262150 OXU262150 PHQ262150 PRM262150 QBI262150 QLE262150 QVA262150 REW262150 ROS262150 RYO262150 SIK262150 SSG262150 TCC262150 TLY262150 TVU262150 UFQ262150 UPM262150 UZI262150 VJE262150 VTA262150 WCW262150 WMS262150 WWO262150 AC327686 KC327686 TY327686 ADU327686 ANQ327686 AXM327686 BHI327686 BRE327686 CBA327686 CKW327686 CUS327686 DEO327686 DOK327686 DYG327686 EIC327686 ERY327686 FBU327686 FLQ327686 FVM327686 GFI327686 GPE327686 GZA327686 HIW327686 HSS327686 ICO327686 IMK327686 IWG327686 JGC327686 JPY327686 JZU327686 KJQ327686 KTM327686 LDI327686 LNE327686 LXA327686 MGW327686 MQS327686 NAO327686 NKK327686 NUG327686 OEC327686 ONY327686 OXU327686 PHQ327686 PRM327686 QBI327686 QLE327686 QVA327686 REW327686 ROS327686 RYO327686 SIK327686 SSG327686 TCC327686 TLY327686 TVU327686 UFQ327686 UPM327686 UZI327686 VJE327686 VTA327686 WCW327686 WMS327686 WWO327686 AC393222 KC393222 TY393222 ADU393222 ANQ393222 AXM393222 BHI393222 BRE393222 CBA393222 CKW393222 CUS393222 DEO393222 DOK393222 DYG393222 EIC393222 ERY393222 FBU393222 FLQ393222 FVM393222 GFI393222 GPE393222 GZA393222 HIW393222 HSS393222 ICO393222 IMK393222 IWG393222 JGC393222 JPY393222 JZU393222 KJQ393222 KTM393222 LDI393222 LNE393222 LXA393222 MGW393222 MQS393222 NAO393222 NKK393222 NUG393222 OEC393222 ONY393222 OXU393222 PHQ393222 PRM393222 QBI393222 QLE393222 QVA393222 REW393222 ROS393222 RYO393222 SIK393222 SSG393222 TCC393222 TLY393222 TVU393222 UFQ393222 UPM393222 UZI393222 VJE393222 VTA393222 WCW393222 WMS393222 WWO393222 AC458758 KC458758 TY458758 ADU458758 ANQ458758 AXM458758 BHI458758 BRE458758 CBA458758 CKW458758 CUS458758 DEO458758 DOK458758 DYG458758 EIC458758 ERY458758 FBU458758 FLQ458758 FVM458758 GFI458758 GPE458758 GZA458758 HIW458758 HSS458758 ICO458758 IMK458758 IWG458758 JGC458758 JPY458758 JZU458758 KJQ458758 KTM458758 LDI458758 LNE458758 LXA458758 MGW458758 MQS458758 NAO458758 NKK458758 NUG458758 OEC458758 ONY458758 OXU458758 PHQ458758 PRM458758 QBI458758 QLE458758 QVA458758 REW458758 ROS458758 RYO458758 SIK458758 SSG458758 TCC458758 TLY458758 TVU458758 UFQ458758 UPM458758 UZI458758 VJE458758 VTA458758 WCW458758 WMS458758 WWO458758 AC524294 KC524294 TY524294 ADU524294 ANQ524294 AXM524294 BHI524294 BRE524294 CBA524294 CKW524294 CUS524294 DEO524294 DOK524294 DYG524294 EIC524294 ERY524294 FBU524294 FLQ524294 FVM524294 GFI524294 GPE524294 GZA524294 HIW524294 HSS524294 ICO524294 IMK524294 IWG524294 JGC524294 JPY524294 JZU524294 KJQ524294 KTM524294 LDI524294 LNE524294 LXA524294 MGW524294 MQS524294 NAO524294 NKK524294 NUG524294 OEC524294 ONY524294 OXU524294 PHQ524294 PRM524294 QBI524294 QLE524294 QVA524294 REW524294 ROS524294 RYO524294 SIK524294 SSG524294 TCC524294 TLY524294 TVU524294 UFQ524294 UPM524294 UZI524294 VJE524294 VTA524294 WCW524294 WMS524294 WWO524294 AC589830 KC589830 TY589830 ADU589830 ANQ589830 AXM589830 BHI589830 BRE589830 CBA589830 CKW589830 CUS589830 DEO589830 DOK589830 DYG589830 EIC589830 ERY589830 FBU589830 FLQ589830 FVM589830 GFI589830 GPE589830 GZA589830 HIW589830 HSS589830 ICO589830 IMK589830 IWG589830 JGC589830 JPY589830 JZU589830 KJQ589830 KTM589830 LDI589830 LNE589830 LXA589830 MGW589830 MQS589830 NAO589830 NKK589830 NUG589830 OEC589830 ONY589830 OXU589830 PHQ589830 PRM589830 QBI589830 QLE589830 QVA589830 REW589830 ROS589830 RYO589830 SIK589830 SSG589830 TCC589830 TLY589830 TVU589830 UFQ589830 UPM589830 UZI589830 VJE589830 VTA589830 WCW589830 WMS589830 WWO589830 AC655366 KC655366 TY655366 ADU655366 ANQ655366 AXM655366 BHI655366 BRE655366 CBA655366 CKW655366 CUS655366 DEO655366 DOK655366 DYG655366 EIC655366 ERY655366 FBU655366 FLQ655366 FVM655366 GFI655366 GPE655366 GZA655366 HIW655366 HSS655366 ICO655366 IMK655366 IWG655366 JGC655366 JPY655366 JZU655366 KJQ655366 KTM655366 LDI655366 LNE655366 LXA655366 MGW655366 MQS655366 NAO655366 NKK655366 NUG655366 OEC655366 ONY655366 OXU655366 PHQ655366 PRM655366 QBI655366 QLE655366 QVA655366 REW655366 ROS655366 RYO655366 SIK655366 SSG655366 TCC655366 TLY655366 TVU655366 UFQ655366 UPM655366 UZI655366 VJE655366 VTA655366 WCW655366 WMS655366 WWO655366 AC720902 KC720902 TY720902 ADU720902 ANQ720902 AXM720902 BHI720902 BRE720902 CBA720902 CKW720902 CUS720902 DEO720902 DOK720902 DYG720902 EIC720902 ERY720902 FBU720902 FLQ720902 FVM720902 GFI720902 GPE720902 GZA720902 HIW720902 HSS720902 ICO720902 IMK720902 IWG720902 JGC720902 JPY720902 JZU720902 KJQ720902 KTM720902 LDI720902 LNE720902 LXA720902 MGW720902 MQS720902 NAO720902 NKK720902 NUG720902 OEC720902 ONY720902 OXU720902 PHQ720902 PRM720902 QBI720902 QLE720902 QVA720902 REW720902 ROS720902 RYO720902 SIK720902 SSG720902 TCC720902 TLY720902 TVU720902 UFQ720902 UPM720902 UZI720902 VJE720902 VTA720902 WCW720902 WMS720902 WWO720902 AC786438 KC786438 TY786438 ADU786438 ANQ786438 AXM786438 BHI786438 BRE786438 CBA786438 CKW786438 CUS786438 DEO786438 DOK786438 DYG786438 EIC786438 ERY786438 FBU786438 FLQ786438 FVM786438 GFI786438 GPE786438 GZA786438 HIW786438 HSS786438 ICO786438 IMK786438 IWG786438 JGC786438 JPY786438 JZU786438 KJQ786438 KTM786438 LDI786438 LNE786438 LXA786438 MGW786438 MQS786438 NAO786438 NKK786438 NUG786438 OEC786438 ONY786438 OXU786438 PHQ786438 PRM786438 QBI786438 QLE786438 QVA786438 REW786438 ROS786438 RYO786438 SIK786438 SSG786438 TCC786438 TLY786438 TVU786438 UFQ786438 UPM786438 UZI786438 VJE786438 VTA786438 WCW786438 WMS786438 WWO786438 AC851974 KC851974 TY851974 ADU851974 ANQ851974 AXM851974 BHI851974 BRE851974 CBA851974 CKW851974 CUS851974 DEO851974 DOK851974 DYG851974 EIC851974 ERY851974 FBU851974 FLQ851974 FVM851974 GFI851974 GPE851974 GZA851974 HIW851974 HSS851974 ICO851974 IMK851974 IWG851974 JGC851974 JPY851974 JZU851974 KJQ851974 KTM851974 LDI851974 LNE851974 LXA851974 MGW851974 MQS851974 NAO851974 NKK851974 NUG851974 OEC851974 ONY851974 OXU851974 PHQ851974 PRM851974 QBI851974 QLE851974 QVA851974 REW851974 ROS851974 RYO851974 SIK851974 SSG851974 TCC851974 TLY851974 TVU851974 UFQ851974 UPM851974 UZI851974 VJE851974 VTA851974 WCW851974 WMS851974 WWO851974 AC917510 KC917510 TY917510 ADU917510 ANQ917510 AXM917510 BHI917510 BRE917510 CBA917510 CKW917510 CUS917510 DEO917510 DOK917510 DYG917510 EIC917510 ERY917510 FBU917510 FLQ917510 FVM917510 GFI917510 GPE917510 GZA917510 HIW917510 HSS917510 ICO917510 IMK917510 IWG917510 JGC917510 JPY917510 JZU917510 KJQ917510 KTM917510 LDI917510 LNE917510 LXA917510 MGW917510 MQS917510 NAO917510 NKK917510 NUG917510 OEC917510 ONY917510 OXU917510 PHQ917510 PRM917510 QBI917510 QLE917510 QVA917510 REW917510 ROS917510 RYO917510 SIK917510 SSG917510 TCC917510 TLY917510 TVU917510 UFQ917510 UPM917510 UZI917510 VJE917510 VTA917510 WCW917510 WMS917510 WWO917510 AC983046 KC983046 TY983046 ADU983046 ANQ983046 AXM983046 BHI983046 BRE983046 CBA983046 CKW983046 CUS983046 DEO983046 DOK983046 DYG983046 EIC983046 ERY983046 FBU983046 FLQ983046 FVM983046 GFI983046 GPE983046 GZA983046 HIW983046 HSS983046 ICO983046 IMK983046 IWG983046 JGC983046 JPY983046 JZU983046 KJQ983046 KTM983046 LDI983046 LNE983046 LXA983046 MGW983046 MQS983046 NAO983046 NKK983046 NUG983046 OEC983046 ONY983046 OXU983046 PHQ983046 PRM983046 QBI983046 QLE983046 QVA983046 REW983046 ROS983046 RYO983046 SIK983046 SSG983046 TCC983046 TLY983046 TVU983046 UFQ983046 UPM983046 UZI983046 VJE983046 VTA983046 WCW983046 WMS983046 WWO983046" xr:uid="{00000000-0002-0000-0500-000002000000}"/>
    <dataValidation type="custom" allowBlank="1" showInputMessage="1" showErrorMessage="1" error="Enter 10 Digits Valid PAN _x000a_Firsr five Alphabets then 4 Digits and last Alpabets _x000a_( Exatly 10 Characters)" sqref="WWI983046:WWL983046 JW5:JZ5 TS5:TV5 ADO5:ADR5 ANK5:ANN5 AXG5:AXJ5 BHC5:BHF5 BQY5:BRB5 CAU5:CAX5 CKQ5:CKT5 CUM5:CUP5 DEI5:DEL5 DOE5:DOH5 DYA5:DYD5 EHW5:EHZ5 ERS5:ERV5 FBO5:FBR5 FLK5:FLN5 FVG5:FVJ5 GFC5:GFF5 GOY5:GPB5 GYU5:GYX5 HIQ5:HIT5 HSM5:HSP5 ICI5:ICL5 IME5:IMH5 IWA5:IWD5 JFW5:JFZ5 JPS5:JPV5 JZO5:JZR5 KJK5:KJN5 KTG5:KTJ5 LDC5:LDF5 LMY5:LNB5 LWU5:LWX5 MGQ5:MGT5 MQM5:MQP5 NAI5:NAL5 NKE5:NKH5 NUA5:NUD5 ODW5:ODZ5 ONS5:ONV5 OXO5:OXR5 PHK5:PHN5 PRG5:PRJ5 QBC5:QBF5 QKY5:QLB5 QUU5:QUX5 REQ5:RET5 ROM5:ROP5 RYI5:RYL5 SIE5:SIH5 SSA5:SSD5 TBW5:TBZ5 TLS5:TLV5 TVO5:TVR5 UFK5:UFN5 UPG5:UPJ5 UZC5:UZF5 VIY5:VJB5 VSU5:VSX5 WCQ5:WCT5 WMM5:WMP5 WWI5:WWL5 U65542:X65542 JW65542:JZ65542 TS65542:TV65542 ADO65542:ADR65542 ANK65542:ANN65542 AXG65542:AXJ65542 BHC65542:BHF65542 BQY65542:BRB65542 CAU65542:CAX65542 CKQ65542:CKT65542 CUM65542:CUP65542 DEI65542:DEL65542 DOE65542:DOH65542 DYA65542:DYD65542 EHW65542:EHZ65542 ERS65542:ERV65542 FBO65542:FBR65542 FLK65542:FLN65542 FVG65542:FVJ65542 GFC65542:GFF65542 GOY65542:GPB65542 GYU65542:GYX65542 HIQ65542:HIT65542 HSM65542:HSP65542 ICI65542:ICL65542 IME65542:IMH65542 IWA65542:IWD65542 JFW65542:JFZ65542 JPS65542:JPV65542 JZO65542:JZR65542 KJK65542:KJN65542 KTG65542:KTJ65542 LDC65542:LDF65542 LMY65542:LNB65542 LWU65542:LWX65542 MGQ65542:MGT65542 MQM65542:MQP65542 NAI65542:NAL65542 NKE65542:NKH65542 NUA65542:NUD65542 ODW65542:ODZ65542 ONS65542:ONV65542 OXO65542:OXR65542 PHK65542:PHN65542 PRG65542:PRJ65542 QBC65542:QBF65542 QKY65542:QLB65542 QUU65542:QUX65542 REQ65542:RET65542 ROM65542:ROP65542 RYI65542:RYL65542 SIE65542:SIH65542 SSA65542:SSD65542 TBW65542:TBZ65542 TLS65542:TLV65542 TVO65542:TVR65542 UFK65542:UFN65542 UPG65542:UPJ65542 UZC65542:UZF65542 VIY65542:VJB65542 VSU65542:VSX65542 WCQ65542:WCT65542 WMM65542:WMP65542 WWI65542:WWL65542 U131078:X131078 JW131078:JZ131078 TS131078:TV131078 ADO131078:ADR131078 ANK131078:ANN131078 AXG131078:AXJ131078 BHC131078:BHF131078 BQY131078:BRB131078 CAU131078:CAX131078 CKQ131078:CKT131078 CUM131078:CUP131078 DEI131078:DEL131078 DOE131078:DOH131078 DYA131078:DYD131078 EHW131078:EHZ131078 ERS131078:ERV131078 FBO131078:FBR131078 FLK131078:FLN131078 FVG131078:FVJ131078 GFC131078:GFF131078 GOY131078:GPB131078 GYU131078:GYX131078 HIQ131078:HIT131078 HSM131078:HSP131078 ICI131078:ICL131078 IME131078:IMH131078 IWA131078:IWD131078 JFW131078:JFZ131078 JPS131078:JPV131078 JZO131078:JZR131078 KJK131078:KJN131078 KTG131078:KTJ131078 LDC131078:LDF131078 LMY131078:LNB131078 LWU131078:LWX131078 MGQ131078:MGT131078 MQM131078:MQP131078 NAI131078:NAL131078 NKE131078:NKH131078 NUA131078:NUD131078 ODW131078:ODZ131078 ONS131078:ONV131078 OXO131078:OXR131078 PHK131078:PHN131078 PRG131078:PRJ131078 QBC131078:QBF131078 QKY131078:QLB131078 QUU131078:QUX131078 REQ131078:RET131078 ROM131078:ROP131078 RYI131078:RYL131078 SIE131078:SIH131078 SSA131078:SSD131078 TBW131078:TBZ131078 TLS131078:TLV131078 TVO131078:TVR131078 UFK131078:UFN131078 UPG131078:UPJ131078 UZC131078:UZF131078 VIY131078:VJB131078 VSU131078:VSX131078 WCQ131078:WCT131078 WMM131078:WMP131078 WWI131078:WWL131078 U196614:X196614 JW196614:JZ196614 TS196614:TV196614 ADO196614:ADR196614 ANK196614:ANN196614 AXG196614:AXJ196614 BHC196614:BHF196614 BQY196614:BRB196614 CAU196614:CAX196614 CKQ196614:CKT196614 CUM196614:CUP196614 DEI196614:DEL196614 DOE196614:DOH196614 DYA196614:DYD196614 EHW196614:EHZ196614 ERS196614:ERV196614 FBO196614:FBR196614 FLK196614:FLN196614 FVG196614:FVJ196614 GFC196614:GFF196614 GOY196614:GPB196614 GYU196614:GYX196614 HIQ196614:HIT196614 HSM196614:HSP196614 ICI196614:ICL196614 IME196614:IMH196614 IWA196614:IWD196614 JFW196614:JFZ196614 JPS196614:JPV196614 JZO196614:JZR196614 KJK196614:KJN196614 KTG196614:KTJ196614 LDC196614:LDF196614 LMY196614:LNB196614 LWU196614:LWX196614 MGQ196614:MGT196614 MQM196614:MQP196614 NAI196614:NAL196614 NKE196614:NKH196614 NUA196614:NUD196614 ODW196614:ODZ196614 ONS196614:ONV196614 OXO196614:OXR196614 PHK196614:PHN196614 PRG196614:PRJ196614 QBC196614:QBF196614 QKY196614:QLB196614 QUU196614:QUX196614 REQ196614:RET196614 ROM196614:ROP196614 RYI196614:RYL196614 SIE196614:SIH196614 SSA196614:SSD196614 TBW196614:TBZ196614 TLS196614:TLV196614 TVO196614:TVR196614 UFK196614:UFN196614 UPG196614:UPJ196614 UZC196614:UZF196614 VIY196614:VJB196614 VSU196614:VSX196614 WCQ196614:WCT196614 WMM196614:WMP196614 WWI196614:WWL196614 U262150:X262150 JW262150:JZ262150 TS262150:TV262150 ADO262150:ADR262150 ANK262150:ANN262150 AXG262150:AXJ262150 BHC262150:BHF262150 BQY262150:BRB262150 CAU262150:CAX262150 CKQ262150:CKT262150 CUM262150:CUP262150 DEI262150:DEL262150 DOE262150:DOH262150 DYA262150:DYD262150 EHW262150:EHZ262150 ERS262150:ERV262150 FBO262150:FBR262150 FLK262150:FLN262150 FVG262150:FVJ262150 GFC262150:GFF262150 GOY262150:GPB262150 GYU262150:GYX262150 HIQ262150:HIT262150 HSM262150:HSP262150 ICI262150:ICL262150 IME262150:IMH262150 IWA262150:IWD262150 JFW262150:JFZ262150 JPS262150:JPV262150 JZO262150:JZR262150 KJK262150:KJN262150 KTG262150:KTJ262150 LDC262150:LDF262150 LMY262150:LNB262150 LWU262150:LWX262150 MGQ262150:MGT262150 MQM262150:MQP262150 NAI262150:NAL262150 NKE262150:NKH262150 NUA262150:NUD262150 ODW262150:ODZ262150 ONS262150:ONV262150 OXO262150:OXR262150 PHK262150:PHN262150 PRG262150:PRJ262150 QBC262150:QBF262150 QKY262150:QLB262150 QUU262150:QUX262150 REQ262150:RET262150 ROM262150:ROP262150 RYI262150:RYL262150 SIE262150:SIH262150 SSA262150:SSD262150 TBW262150:TBZ262150 TLS262150:TLV262150 TVO262150:TVR262150 UFK262150:UFN262150 UPG262150:UPJ262150 UZC262150:UZF262150 VIY262150:VJB262150 VSU262150:VSX262150 WCQ262150:WCT262150 WMM262150:WMP262150 WWI262150:WWL262150 U327686:X327686 JW327686:JZ327686 TS327686:TV327686 ADO327686:ADR327686 ANK327686:ANN327686 AXG327686:AXJ327686 BHC327686:BHF327686 BQY327686:BRB327686 CAU327686:CAX327686 CKQ327686:CKT327686 CUM327686:CUP327686 DEI327686:DEL327686 DOE327686:DOH327686 DYA327686:DYD327686 EHW327686:EHZ327686 ERS327686:ERV327686 FBO327686:FBR327686 FLK327686:FLN327686 FVG327686:FVJ327686 GFC327686:GFF327686 GOY327686:GPB327686 GYU327686:GYX327686 HIQ327686:HIT327686 HSM327686:HSP327686 ICI327686:ICL327686 IME327686:IMH327686 IWA327686:IWD327686 JFW327686:JFZ327686 JPS327686:JPV327686 JZO327686:JZR327686 KJK327686:KJN327686 KTG327686:KTJ327686 LDC327686:LDF327686 LMY327686:LNB327686 LWU327686:LWX327686 MGQ327686:MGT327686 MQM327686:MQP327686 NAI327686:NAL327686 NKE327686:NKH327686 NUA327686:NUD327686 ODW327686:ODZ327686 ONS327686:ONV327686 OXO327686:OXR327686 PHK327686:PHN327686 PRG327686:PRJ327686 QBC327686:QBF327686 QKY327686:QLB327686 QUU327686:QUX327686 REQ327686:RET327686 ROM327686:ROP327686 RYI327686:RYL327686 SIE327686:SIH327686 SSA327686:SSD327686 TBW327686:TBZ327686 TLS327686:TLV327686 TVO327686:TVR327686 UFK327686:UFN327686 UPG327686:UPJ327686 UZC327686:UZF327686 VIY327686:VJB327686 VSU327686:VSX327686 WCQ327686:WCT327686 WMM327686:WMP327686 WWI327686:WWL327686 U393222:X393222 JW393222:JZ393222 TS393222:TV393222 ADO393222:ADR393222 ANK393222:ANN393222 AXG393222:AXJ393222 BHC393222:BHF393222 BQY393222:BRB393222 CAU393222:CAX393222 CKQ393222:CKT393222 CUM393222:CUP393222 DEI393222:DEL393222 DOE393222:DOH393222 DYA393222:DYD393222 EHW393222:EHZ393222 ERS393222:ERV393222 FBO393222:FBR393222 FLK393222:FLN393222 FVG393222:FVJ393222 GFC393222:GFF393222 GOY393222:GPB393222 GYU393222:GYX393222 HIQ393222:HIT393222 HSM393222:HSP393222 ICI393222:ICL393222 IME393222:IMH393222 IWA393222:IWD393222 JFW393222:JFZ393222 JPS393222:JPV393222 JZO393222:JZR393222 KJK393222:KJN393222 KTG393222:KTJ393222 LDC393222:LDF393222 LMY393222:LNB393222 LWU393222:LWX393222 MGQ393222:MGT393222 MQM393222:MQP393222 NAI393222:NAL393222 NKE393222:NKH393222 NUA393222:NUD393222 ODW393222:ODZ393222 ONS393222:ONV393222 OXO393222:OXR393222 PHK393222:PHN393222 PRG393222:PRJ393222 QBC393222:QBF393222 QKY393222:QLB393222 QUU393222:QUX393222 REQ393222:RET393222 ROM393222:ROP393222 RYI393222:RYL393222 SIE393222:SIH393222 SSA393222:SSD393222 TBW393222:TBZ393222 TLS393222:TLV393222 TVO393222:TVR393222 UFK393222:UFN393222 UPG393222:UPJ393222 UZC393222:UZF393222 VIY393222:VJB393222 VSU393222:VSX393222 WCQ393222:WCT393222 WMM393222:WMP393222 WWI393222:WWL393222 U458758:X458758 JW458758:JZ458758 TS458758:TV458758 ADO458758:ADR458758 ANK458758:ANN458758 AXG458758:AXJ458758 BHC458758:BHF458758 BQY458758:BRB458758 CAU458758:CAX458758 CKQ458758:CKT458758 CUM458758:CUP458758 DEI458758:DEL458758 DOE458758:DOH458758 DYA458758:DYD458758 EHW458758:EHZ458758 ERS458758:ERV458758 FBO458758:FBR458758 FLK458758:FLN458758 FVG458758:FVJ458758 GFC458758:GFF458758 GOY458758:GPB458758 GYU458758:GYX458758 HIQ458758:HIT458758 HSM458758:HSP458758 ICI458758:ICL458758 IME458758:IMH458758 IWA458758:IWD458758 JFW458758:JFZ458758 JPS458758:JPV458758 JZO458758:JZR458758 KJK458758:KJN458758 KTG458758:KTJ458758 LDC458758:LDF458758 LMY458758:LNB458758 LWU458758:LWX458758 MGQ458758:MGT458758 MQM458758:MQP458758 NAI458758:NAL458758 NKE458758:NKH458758 NUA458758:NUD458758 ODW458758:ODZ458758 ONS458758:ONV458758 OXO458758:OXR458758 PHK458758:PHN458758 PRG458758:PRJ458758 QBC458758:QBF458758 QKY458758:QLB458758 QUU458758:QUX458758 REQ458758:RET458758 ROM458758:ROP458758 RYI458758:RYL458758 SIE458758:SIH458758 SSA458758:SSD458758 TBW458758:TBZ458758 TLS458758:TLV458758 TVO458758:TVR458758 UFK458758:UFN458758 UPG458758:UPJ458758 UZC458758:UZF458758 VIY458758:VJB458758 VSU458758:VSX458758 WCQ458758:WCT458758 WMM458758:WMP458758 WWI458758:WWL458758 U524294:X524294 JW524294:JZ524294 TS524294:TV524294 ADO524294:ADR524294 ANK524294:ANN524294 AXG524294:AXJ524294 BHC524294:BHF524294 BQY524294:BRB524294 CAU524294:CAX524294 CKQ524294:CKT524294 CUM524294:CUP524294 DEI524294:DEL524294 DOE524294:DOH524294 DYA524294:DYD524294 EHW524294:EHZ524294 ERS524294:ERV524294 FBO524294:FBR524294 FLK524294:FLN524294 FVG524294:FVJ524294 GFC524294:GFF524294 GOY524294:GPB524294 GYU524294:GYX524294 HIQ524294:HIT524294 HSM524294:HSP524294 ICI524294:ICL524294 IME524294:IMH524294 IWA524294:IWD524294 JFW524294:JFZ524294 JPS524294:JPV524294 JZO524294:JZR524294 KJK524294:KJN524294 KTG524294:KTJ524294 LDC524294:LDF524294 LMY524294:LNB524294 LWU524294:LWX524294 MGQ524294:MGT524294 MQM524294:MQP524294 NAI524294:NAL524294 NKE524294:NKH524294 NUA524294:NUD524294 ODW524294:ODZ524294 ONS524294:ONV524294 OXO524294:OXR524294 PHK524294:PHN524294 PRG524294:PRJ524294 QBC524294:QBF524294 QKY524294:QLB524294 QUU524294:QUX524294 REQ524294:RET524294 ROM524294:ROP524294 RYI524294:RYL524294 SIE524294:SIH524294 SSA524294:SSD524294 TBW524294:TBZ524294 TLS524294:TLV524294 TVO524294:TVR524294 UFK524294:UFN524294 UPG524294:UPJ524294 UZC524294:UZF524294 VIY524294:VJB524294 VSU524294:VSX524294 WCQ524294:WCT524294 WMM524294:WMP524294 WWI524294:WWL524294 U589830:X589830 JW589830:JZ589830 TS589830:TV589830 ADO589830:ADR589830 ANK589830:ANN589830 AXG589830:AXJ589830 BHC589830:BHF589830 BQY589830:BRB589830 CAU589830:CAX589830 CKQ589830:CKT589830 CUM589830:CUP589830 DEI589830:DEL589830 DOE589830:DOH589830 DYA589830:DYD589830 EHW589830:EHZ589830 ERS589830:ERV589830 FBO589830:FBR589830 FLK589830:FLN589830 FVG589830:FVJ589830 GFC589830:GFF589830 GOY589830:GPB589830 GYU589830:GYX589830 HIQ589830:HIT589830 HSM589830:HSP589830 ICI589830:ICL589830 IME589830:IMH589830 IWA589830:IWD589830 JFW589830:JFZ589830 JPS589830:JPV589830 JZO589830:JZR589830 KJK589830:KJN589830 KTG589830:KTJ589830 LDC589830:LDF589830 LMY589830:LNB589830 LWU589830:LWX589830 MGQ589830:MGT589830 MQM589830:MQP589830 NAI589830:NAL589830 NKE589830:NKH589830 NUA589830:NUD589830 ODW589830:ODZ589830 ONS589830:ONV589830 OXO589830:OXR589830 PHK589830:PHN589830 PRG589830:PRJ589830 QBC589830:QBF589830 QKY589830:QLB589830 QUU589830:QUX589830 REQ589830:RET589830 ROM589830:ROP589830 RYI589830:RYL589830 SIE589830:SIH589830 SSA589830:SSD589830 TBW589830:TBZ589830 TLS589830:TLV589830 TVO589830:TVR589830 UFK589830:UFN589830 UPG589830:UPJ589830 UZC589830:UZF589830 VIY589830:VJB589830 VSU589830:VSX589830 WCQ589830:WCT589830 WMM589830:WMP589830 WWI589830:WWL589830 U655366:X655366 JW655366:JZ655366 TS655366:TV655366 ADO655366:ADR655366 ANK655366:ANN655366 AXG655366:AXJ655366 BHC655366:BHF655366 BQY655366:BRB655366 CAU655366:CAX655366 CKQ655366:CKT655366 CUM655366:CUP655366 DEI655366:DEL655366 DOE655366:DOH655366 DYA655366:DYD655366 EHW655366:EHZ655366 ERS655366:ERV655366 FBO655366:FBR655366 FLK655366:FLN655366 FVG655366:FVJ655366 GFC655366:GFF655366 GOY655366:GPB655366 GYU655366:GYX655366 HIQ655366:HIT655366 HSM655366:HSP655366 ICI655366:ICL655366 IME655366:IMH655366 IWA655366:IWD655366 JFW655366:JFZ655366 JPS655366:JPV655366 JZO655366:JZR655366 KJK655366:KJN655366 KTG655366:KTJ655366 LDC655366:LDF655366 LMY655366:LNB655366 LWU655366:LWX655366 MGQ655366:MGT655366 MQM655366:MQP655366 NAI655366:NAL655366 NKE655366:NKH655366 NUA655366:NUD655366 ODW655366:ODZ655366 ONS655366:ONV655366 OXO655366:OXR655366 PHK655366:PHN655366 PRG655366:PRJ655366 QBC655366:QBF655366 QKY655366:QLB655366 QUU655366:QUX655366 REQ655366:RET655366 ROM655366:ROP655366 RYI655366:RYL655366 SIE655366:SIH655366 SSA655366:SSD655366 TBW655366:TBZ655366 TLS655366:TLV655366 TVO655366:TVR655366 UFK655366:UFN655366 UPG655366:UPJ655366 UZC655366:UZF655366 VIY655366:VJB655366 VSU655366:VSX655366 WCQ655366:WCT655366 WMM655366:WMP655366 WWI655366:WWL655366 U720902:X720902 JW720902:JZ720902 TS720902:TV720902 ADO720902:ADR720902 ANK720902:ANN720902 AXG720902:AXJ720902 BHC720902:BHF720902 BQY720902:BRB720902 CAU720902:CAX720902 CKQ720902:CKT720902 CUM720902:CUP720902 DEI720902:DEL720902 DOE720902:DOH720902 DYA720902:DYD720902 EHW720902:EHZ720902 ERS720902:ERV720902 FBO720902:FBR720902 FLK720902:FLN720902 FVG720902:FVJ720902 GFC720902:GFF720902 GOY720902:GPB720902 GYU720902:GYX720902 HIQ720902:HIT720902 HSM720902:HSP720902 ICI720902:ICL720902 IME720902:IMH720902 IWA720902:IWD720902 JFW720902:JFZ720902 JPS720902:JPV720902 JZO720902:JZR720902 KJK720902:KJN720902 KTG720902:KTJ720902 LDC720902:LDF720902 LMY720902:LNB720902 LWU720902:LWX720902 MGQ720902:MGT720902 MQM720902:MQP720902 NAI720902:NAL720902 NKE720902:NKH720902 NUA720902:NUD720902 ODW720902:ODZ720902 ONS720902:ONV720902 OXO720902:OXR720902 PHK720902:PHN720902 PRG720902:PRJ720902 QBC720902:QBF720902 QKY720902:QLB720902 QUU720902:QUX720902 REQ720902:RET720902 ROM720902:ROP720902 RYI720902:RYL720902 SIE720902:SIH720902 SSA720902:SSD720902 TBW720902:TBZ720902 TLS720902:TLV720902 TVO720902:TVR720902 UFK720902:UFN720902 UPG720902:UPJ720902 UZC720902:UZF720902 VIY720902:VJB720902 VSU720902:VSX720902 WCQ720902:WCT720902 WMM720902:WMP720902 WWI720902:WWL720902 U786438:X786438 JW786438:JZ786438 TS786438:TV786438 ADO786438:ADR786438 ANK786438:ANN786438 AXG786438:AXJ786438 BHC786438:BHF786438 BQY786438:BRB786438 CAU786438:CAX786438 CKQ786438:CKT786438 CUM786438:CUP786438 DEI786438:DEL786438 DOE786438:DOH786438 DYA786438:DYD786438 EHW786438:EHZ786438 ERS786438:ERV786438 FBO786438:FBR786438 FLK786438:FLN786438 FVG786438:FVJ786438 GFC786438:GFF786438 GOY786438:GPB786438 GYU786438:GYX786438 HIQ786438:HIT786438 HSM786438:HSP786438 ICI786438:ICL786438 IME786438:IMH786438 IWA786438:IWD786438 JFW786438:JFZ786438 JPS786438:JPV786438 JZO786438:JZR786438 KJK786438:KJN786438 KTG786438:KTJ786438 LDC786438:LDF786438 LMY786438:LNB786438 LWU786438:LWX786438 MGQ786438:MGT786438 MQM786438:MQP786438 NAI786438:NAL786438 NKE786438:NKH786438 NUA786438:NUD786438 ODW786438:ODZ786438 ONS786438:ONV786438 OXO786438:OXR786438 PHK786438:PHN786438 PRG786438:PRJ786438 QBC786438:QBF786438 QKY786438:QLB786438 QUU786438:QUX786438 REQ786438:RET786438 ROM786438:ROP786438 RYI786438:RYL786438 SIE786438:SIH786438 SSA786438:SSD786438 TBW786438:TBZ786438 TLS786438:TLV786438 TVO786438:TVR786438 UFK786438:UFN786438 UPG786438:UPJ786438 UZC786438:UZF786438 VIY786438:VJB786438 VSU786438:VSX786438 WCQ786438:WCT786438 WMM786438:WMP786438 WWI786438:WWL786438 U851974:X851974 JW851974:JZ851974 TS851974:TV851974 ADO851974:ADR851974 ANK851974:ANN851974 AXG851974:AXJ851974 BHC851974:BHF851974 BQY851974:BRB851974 CAU851974:CAX851974 CKQ851974:CKT851974 CUM851974:CUP851974 DEI851974:DEL851974 DOE851974:DOH851974 DYA851974:DYD851974 EHW851974:EHZ851974 ERS851974:ERV851974 FBO851974:FBR851974 FLK851974:FLN851974 FVG851974:FVJ851974 GFC851974:GFF851974 GOY851974:GPB851974 GYU851974:GYX851974 HIQ851974:HIT851974 HSM851974:HSP851974 ICI851974:ICL851974 IME851974:IMH851974 IWA851974:IWD851974 JFW851974:JFZ851974 JPS851974:JPV851974 JZO851974:JZR851974 KJK851974:KJN851974 KTG851974:KTJ851974 LDC851974:LDF851974 LMY851974:LNB851974 LWU851974:LWX851974 MGQ851974:MGT851974 MQM851974:MQP851974 NAI851974:NAL851974 NKE851974:NKH851974 NUA851974:NUD851974 ODW851974:ODZ851974 ONS851974:ONV851974 OXO851974:OXR851974 PHK851974:PHN851974 PRG851974:PRJ851974 QBC851974:QBF851974 QKY851974:QLB851974 QUU851974:QUX851974 REQ851974:RET851974 ROM851974:ROP851974 RYI851974:RYL851974 SIE851974:SIH851974 SSA851974:SSD851974 TBW851974:TBZ851974 TLS851974:TLV851974 TVO851974:TVR851974 UFK851974:UFN851974 UPG851974:UPJ851974 UZC851974:UZF851974 VIY851974:VJB851974 VSU851974:VSX851974 WCQ851974:WCT851974 WMM851974:WMP851974 WWI851974:WWL851974 U917510:X917510 JW917510:JZ917510 TS917510:TV917510 ADO917510:ADR917510 ANK917510:ANN917510 AXG917510:AXJ917510 BHC917510:BHF917510 BQY917510:BRB917510 CAU917510:CAX917510 CKQ917510:CKT917510 CUM917510:CUP917510 DEI917510:DEL917510 DOE917510:DOH917510 DYA917510:DYD917510 EHW917510:EHZ917510 ERS917510:ERV917510 FBO917510:FBR917510 FLK917510:FLN917510 FVG917510:FVJ917510 GFC917510:GFF917510 GOY917510:GPB917510 GYU917510:GYX917510 HIQ917510:HIT917510 HSM917510:HSP917510 ICI917510:ICL917510 IME917510:IMH917510 IWA917510:IWD917510 JFW917510:JFZ917510 JPS917510:JPV917510 JZO917510:JZR917510 KJK917510:KJN917510 KTG917510:KTJ917510 LDC917510:LDF917510 LMY917510:LNB917510 LWU917510:LWX917510 MGQ917510:MGT917510 MQM917510:MQP917510 NAI917510:NAL917510 NKE917510:NKH917510 NUA917510:NUD917510 ODW917510:ODZ917510 ONS917510:ONV917510 OXO917510:OXR917510 PHK917510:PHN917510 PRG917510:PRJ917510 QBC917510:QBF917510 QKY917510:QLB917510 QUU917510:QUX917510 REQ917510:RET917510 ROM917510:ROP917510 RYI917510:RYL917510 SIE917510:SIH917510 SSA917510:SSD917510 TBW917510:TBZ917510 TLS917510:TLV917510 TVO917510:TVR917510 UFK917510:UFN917510 UPG917510:UPJ917510 UZC917510:UZF917510 VIY917510:VJB917510 VSU917510:VSX917510 WCQ917510:WCT917510 WMM917510:WMP917510 WWI917510:WWL917510 U983046:X983046 JW983046:JZ983046 TS983046:TV983046 ADO983046:ADR983046 ANK983046:ANN983046 AXG983046:AXJ983046 BHC983046:BHF983046 BQY983046:BRB983046 CAU983046:CAX983046 CKQ983046:CKT983046 CUM983046:CUP983046 DEI983046:DEL983046 DOE983046:DOH983046 DYA983046:DYD983046 EHW983046:EHZ983046 ERS983046:ERV983046 FBO983046:FBR983046 FLK983046:FLN983046 FVG983046:FVJ983046 GFC983046:GFF983046 GOY983046:GPB983046 GYU983046:GYX983046 HIQ983046:HIT983046 HSM983046:HSP983046 ICI983046:ICL983046 IME983046:IMH983046 IWA983046:IWD983046 JFW983046:JFZ983046 JPS983046:JPV983046 JZO983046:JZR983046 KJK983046:KJN983046 KTG983046:KTJ983046 LDC983046:LDF983046 LMY983046:LNB983046 LWU983046:LWX983046 MGQ983046:MGT983046 MQM983046:MQP983046 NAI983046:NAL983046 NKE983046:NKH983046 NUA983046:NUD983046 ODW983046:ODZ983046 ONS983046:ONV983046 OXO983046:OXR983046 PHK983046:PHN983046 PRG983046:PRJ983046 QBC983046:QBF983046 QKY983046:QLB983046 QUU983046:QUX983046 REQ983046:RET983046 ROM983046:ROP983046 RYI983046:RYL983046 SIE983046:SIH983046 SSA983046:SSD983046 TBW983046:TBZ983046 TLS983046:TLV983046 TVO983046:TVR983046 UFK983046:UFN983046 UPG983046:UPJ983046 UZC983046:UZF983046 VIY983046:VJB983046 VSU983046:VSX983046 WCQ983046:WCT983046 WMM983046:WMP983046 U6" xr:uid="{00000000-0002-0000-0500-000003000000}">
      <formula1>(LEN(U5)=10)*(MIN(CODE(MID(UPPER(U5),ROW(INDIRECT("1:5")),1)))&gt;64)*(MIN(CODE(MID(UPPER(U5),ROW(INDIRECT("1:5")),1)))&lt;91)*ISNUMBER(--MID(U5,6,4))*((CODE(RIGHT(UPPER(U5),1))&gt;64)*(CODE(RIGHT(UPPER(U5),1))&lt;91))</formula1>
    </dataValidation>
    <dataValidation type="list" allowBlank="1" showInputMessage="1" showErrorMessage="1" sqref="WWB983047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M65543:N65543 JP65543 TL65543 ADH65543 AND65543 AWZ65543 BGV65543 BQR65543 CAN65543 CKJ65543 CUF65543 DEB65543 DNX65543 DXT65543 EHP65543 ERL65543 FBH65543 FLD65543 FUZ65543 GEV65543 GOR65543 GYN65543 HIJ65543 HSF65543 ICB65543 ILX65543 IVT65543 JFP65543 JPL65543 JZH65543 KJD65543 KSZ65543 LCV65543 LMR65543 LWN65543 MGJ65543 MQF65543 NAB65543 NJX65543 NTT65543 ODP65543 ONL65543 OXH65543 PHD65543 PQZ65543 QAV65543 QKR65543 QUN65543 REJ65543 ROF65543 RYB65543 SHX65543 SRT65543 TBP65543 TLL65543 TVH65543 UFD65543 UOZ65543 UYV65543 VIR65543 VSN65543 WCJ65543 WMF65543 WWB65543 M131079:N131079 JP131079 TL131079 ADH131079 AND131079 AWZ131079 BGV131079 BQR131079 CAN131079 CKJ131079 CUF131079 DEB131079 DNX131079 DXT131079 EHP131079 ERL131079 FBH131079 FLD131079 FUZ131079 GEV131079 GOR131079 GYN131079 HIJ131079 HSF131079 ICB131079 ILX131079 IVT131079 JFP131079 JPL131079 JZH131079 KJD131079 KSZ131079 LCV131079 LMR131079 LWN131079 MGJ131079 MQF131079 NAB131079 NJX131079 NTT131079 ODP131079 ONL131079 OXH131079 PHD131079 PQZ131079 QAV131079 QKR131079 QUN131079 REJ131079 ROF131079 RYB131079 SHX131079 SRT131079 TBP131079 TLL131079 TVH131079 UFD131079 UOZ131079 UYV131079 VIR131079 VSN131079 WCJ131079 WMF131079 WWB131079 M196615:N196615 JP196615 TL196615 ADH196615 AND196615 AWZ196615 BGV196615 BQR196615 CAN196615 CKJ196615 CUF196615 DEB196615 DNX196615 DXT196615 EHP196615 ERL196615 FBH196615 FLD196615 FUZ196615 GEV196615 GOR196615 GYN196615 HIJ196615 HSF196615 ICB196615 ILX196615 IVT196615 JFP196615 JPL196615 JZH196615 KJD196615 KSZ196615 LCV196615 LMR196615 LWN196615 MGJ196615 MQF196615 NAB196615 NJX196615 NTT196615 ODP196615 ONL196615 OXH196615 PHD196615 PQZ196615 QAV196615 QKR196615 QUN196615 REJ196615 ROF196615 RYB196615 SHX196615 SRT196615 TBP196615 TLL196615 TVH196615 UFD196615 UOZ196615 UYV196615 VIR196615 VSN196615 WCJ196615 WMF196615 WWB196615 M262151:N262151 JP262151 TL262151 ADH262151 AND262151 AWZ262151 BGV262151 BQR262151 CAN262151 CKJ262151 CUF262151 DEB262151 DNX262151 DXT262151 EHP262151 ERL262151 FBH262151 FLD262151 FUZ262151 GEV262151 GOR262151 GYN262151 HIJ262151 HSF262151 ICB262151 ILX262151 IVT262151 JFP262151 JPL262151 JZH262151 KJD262151 KSZ262151 LCV262151 LMR262151 LWN262151 MGJ262151 MQF262151 NAB262151 NJX262151 NTT262151 ODP262151 ONL262151 OXH262151 PHD262151 PQZ262151 QAV262151 QKR262151 QUN262151 REJ262151 ROF262151 RYB262151 SHX262151 SRT262151 TBP262151 TLL262151 TVH262151 UFD262151 UOZ262151 UYV262151 VIR262151 VSN262151 WCJ262151 WMF262151 WWB262151 M327687:N327687 JP327687 TL327687 ADH327687 AND327687 AWZ327687 BGV327687 BQR327687 CAN327687 CKJ327687 CUF327687 DEB327687 DNX327687 DXT327687 EHP327687 ERL327687 FBH327687 FLD327687 FUZ327687 GEV327687 GOR327687 GYN327687 HIJ327687 HSF327687 ICB327687 ILX327687 IVT327687 JFP327687 JPL327687 JZH327687 KJD327687 KSZ327687 LCV327687 LMR327687 LWN327687 MGJ327687 MQF327687 NAB327687 NJX327687 NTT327687 ODP327687 ONL327687 OXH327687 PHD327687 PQZ327687 QAV327687 QKR327687 QUN327687 REJ327687 ROF327687 RYB327687 SHX327687 SRT327687 TBP327687 TLL327687 TVH327687 UFD327687 UOZ327687 UYV327687 VIR327687 VSN327687 WCJ327687 WMF327687 WWB327687 M393223:N393223 JP393223 TL393223 ADH393223 AND393223 AWZ393223 BGV393223 BQR393223 CAN393223 CKJ393223 CUF393223 DEB393223 DNX393223 DXT393223 EHP393223 ERL393223 FBH393223 FLD393223 FUZ393223 GEV393223 GOR393223 GYN393223 HIJ393223 HSF393223 ICB393223 ILX393223 IVT393223 JFP393223 JPL393223 JZH393223 KJD393223 KSZ393223 LCV393223 LMR393223 LWN393223 MGJ393223 MQF393223 NAB393223 NJX393223 NTT393223 ODP393223 ONL393223 OXH393223 PHD393223 PQZ393223 QAV393223 QKR393223 QUN393223 REJ393223 ROF393223 RYB393223 SHX393223 SRT393223 TBP393223 TLL393223 TVH393223 UFD393223 UOZ393223 UYV393223 VIR393223 VSN393223 WCJ393223 WMF393223 WWB393223 M458759:N458759 JP458759 TL458759 ADH458759 AND458759 AWZ458759 BGV458759 BQR458759 CAN458759 CKJ458759 CUF458759 DEB458759 DNX458759 DXT458759 EHP458759 ERL458759 FBH458759 FLD458759 FUZ458759 GEV458759 GOR458759 GYN458759 HIJ458759 HSF458759 ICB458759 ILX458759 IVT458759 JFP458759 JPL458759 JZH458759 KJD458759 KSZ458759 LCV458759 LMR458759 LWN458759 MGJ458759 MQF458759 NAB458759 NJX458759 NTT458759 ODP458759 ONL458759 OXH458759 PHD458759 PQZ458759 QAV458759 QKR458759 QUN458759 REJ458759 ROF458759 RYB458759 SHX458759 SRT458759 TBP458759 TLL458759 TVH458759 UFD458759 UOZ458759 UYV458759 VIR458759 VSN458759 WCJ458759 WMF458759 WWB458759 M524295:N524295 JP524295 TL524295 ADH524295 AND524295 AWZ524295 BGV524295 BQR524295 CAN524295 CKJ524295 CUF524295 DEB524295 DNX524295 DXT524295 EHP524295 ERL524295 FBH524295 FLD524295 FUZ524295 GEV524295 GOR524295 GYN524295 HIJ524295 HSF524295 ICB524295 ILX524295 IVT524295 JFP524295 JPL524295 JZH524295 KJD524295 KSZ524295 LCV524295 LMR524295 LWN524295 MGJ524295 MQF524295 NAB524295 NJX524295 NTT524295 ODP524295 ONL524295 OXH524295 PHD524295 PQZ524295 QAV524295 QKR524295 QUN524295 REJ524295 ROF524295 RYB524295 SHX524295 SRT524295 TBP524295 TLL524295 TVH524295 UFD524295 UOZ524295 UYV524295 VIR524295 VSN524295 WCJ524295 WMF524295 WWB524295 M589831:N589831 JP589831 TL589831 ADH589831 AND589831 AWZ589831 BGV589831 BQR589831 CAN589831 CKJ589831 CUF589831 DEB589831 DNX589831 DXT589831 EHP589831 ERL589831 FBH589831 FLD589831 FUZ589831 GEV589831 GOR589831 GYN589831 HIJ589831 HSF589831 ICB589831 ILX589831 IVT589831 JFP589831 JPL589831 JZH589831 KJD589831 KSZ589831 LCV589831 LMR589831 LWN589831 MGJ589831 MQF589831 NAB589831 NJX589831 NTT589831 ODP589831 ONL589831 OXH589831 PHD589831 PQZ589831 QAV589831 QKR589831 QUN589831 REJ589831 ROF589831 RYB589831 SHX589831 SRT589831 TBP589831 TLL589831 TVH589831 UFD589831 UOZ589831 UYV589831 VIR589831 VSN589831 WCJ589831 WMF589831 WWB589831 M655367:N655367 JP655367 TL655367 ADH655367 AND655367 AWZ655367 BGV655367 BQR655367 CAN655367 CKJ655367 CUF655367 DEB655367 DNX655367 DXT655367 EHP655367 ERL655367 FBH655367 FLD655367 FUZ655367 GEV655367 GOR655367 GYN655367 HIJ655367 HSF655367 ICB655367 ILX655367 IVT655367 JFP655367 JPL655367 JZH655367 KJD655367 KSZ655367 LCV655367 LMR655367 LWN655367 MGJ655367 MQF655367 NAB655367 NJX655367 NTT655367 ODP655367 ONL655367 OXH655367 PHD655367 PQZ655367 QAV655367 QKR655367 QUN655367 REJ655367 ROF655367 RYB655367 SHX655367 SRT655367 TBP655367 TLL655367 TVH655367 UFD655367 UOZ655367 UYV655367 VIR655367 VSN655367 WCJ655367 WMF655367 WWB655367 M720903:N720903 JP720903 TL720903 ADH720903 AND720903 AWZ720903 BGV720903 BQR720903 CAN720903 CKJ720903 CUF720903 DEB720903 DNX720903 DXT720903 EHP720903 ERL720903 FBH720903 FLD720903 FUZ720903 GEV720903 GOR720903 GYN720903 HIJ720903 HSF720903 ICB720903 ILX720903 IVT720903 JFP720903 JPL720903 JZH720903 KJD720903 KSZ720903 LCV720903 LMR720903 LWN720903 MGJ720903 MQF720903 NAB720903 NJX720903 NTT720903 ODP720903 ONL720903 OXH720903 PHD720903 PQZ720903 QAV720903 QKR720903 QUN720903 REJ720903 ROF720903 RYB720903 SHX720903 SRT720903 TBP720903 TLL720903 TVH720903 UFD720903 UOZ720903 UYV720903 VIR720903 VSN720903 WCJ720903 WMF720903 WWB720903 M786439:N786439 JP786439 TL786439 ADH786439 AND786439 AWZ786439 BGV786439 BQR786439 CAN786439 CKJ786439 CUF786439 DEB786439 DNX786439 DXT786439 EHP786439 ERL786439 FBH786439 FLD786439 FUZ786439 GEV786439 GOR786439 GYN786439 HIJ786439 HSF786439 ICB786439 ILX786439 IVT786439 JFP786439 JPL786439 JZH786439 KJD786439 KSZ786439 LCV786439 LMR786439 LWN786439 MGJ786439 MQF786439 NAB786439 NJX786439 NTT786439 ODP786439 ONL786439 OXH786439 PHD786439 PQZ786439 QAV786439 QKR786439 QUN786439 REJ786439 ROF786439 RYB786439 SHX786439 SRT786439 TBP786439 TLL786439 TVH786439 UFD786439 UOZ786439 UYV786439 VIR786439 VSN786439 WCJ786439 WMF786439 WWB786439 M851975:N851975 JP851975 TL851975 ADH851975 AND851975 AWZ851975 BGV851975 BQR851975 CAN851975 CKJ851975 CUF851975 DEB851975 DNX851975 DXT851975 EHP851975 ERL851975 FBH851975 FLD851975 FUZ851975 GEV851975 GOR851975 GYN851975 HIJ851975 HSF851975 ICB851975 ILX851975 IVT851975 JFP851975 JPL851975 JZH851975 KJD851975 KSZ851975 LCV851975 LMR851975 LWN851975 MGJ851975 MQF851975 NAB851975 NJX851975 NTT851975 ODP851975 ONL851975 OXH851975 PHD851975 PQZ851975 QAV851975 QKR851975 QUN851975 REJ851975 ROF851975 RYB851975 SHX851975 SRT851975 TBP851975 TLL851975 TVH851975 UFD851975 UOZ851975 UYV851975 VIR851975 VSN851975 WCJ851975 WMF851975 WWB851975 M917511:N917511 JP917511 TL917511 ADH917511 AND917511 AWZ917511 BGV917511 BQR917511 CAN917511 CKJ917511 CUF917511 DEB917511 DNX917511 DXT917511 EHP917511 ERL917511 FBH917511 FLD917511 FUZ917511 GEV917511 GOR917511 GYN917511 HIJ917511 HSF917511 ICB917511 ILX917511 IVT917511 JFP917511 JPL917511 JZH917511 KJD917511 KSZ917511 LCV917511 LMR917511 LWN917511 MGJ917511 MQF917511 NAB917511 NJX917511 NTT917511 ODP917511 ONL917511 OXH917511 PHD917511 PQZ917511 QAV917511 QKR917511 QUN917511 REJ917511 ROF917511 RYB917511 SHX917511 SRT917511 TBP917511 TLL917511 TVH917511 UFD917511 UOZ917511 UYV917511 VIR917511 VSN917511 WCJ917511 WMF917511 WWB917511 M983047:N983047 JP983047 TL983047 ADH983047 AND983047 AWZ983047 BGV983047 BQR983047 CAN983047 CKJ983047 CUF983047 DEB983047 DNX983047 DXT983047 EHP983047 ERL983047 FBH983047 FLD983047 FUZ983047 GEV983047 GOR983047 GYN983047 HIJ983047 HSF983047 ICB983047 ILX983047 IVT983047 JFP983047 JPL983047 JZH983047 KJD983047 KSZ983047 LCV983047 LMR983047 LWN983047 MGJ983047 MQF983047 NAB983047 NJX983047 NTT983047 ODP983047 ONL983047 OXH983047 PHD983047 PQZ983047 QAV983047 QKR983047 QUN983047 REJ983047 ROF983047 RYB983047 SHX983047 SRT983047 TBP983047 TLL983047 TVH983047 UFD983047 UOZ983047 UYV983047 VIR983047 VSN983047 WCJ983047 WMF983047" xr:uid="{00000000-0002-0000-0500-000004000000}">
      <formula1>"GPF,NPS"</formula1>
    </dataValidation>
    <dataValidation type="list" allowBlank="1" showInputMessage="1" showErrorMessage="1" sqref="WWN983047 WMR983047 WCV983047 VSZ983047 VJD983047 UZH983047 UPL983047 UFP983047 TVT983047 TLX983047 TCB983047 SSF983047 SIJ983047 RYN983047 ROR983047 REV983047 QUZ983047 QLD983047 QBH983047 PRL983047 PHP983047 OXT983047 ONX983047 OEB983047 NUF983047 NKJ983047 NAN983047 MQR983047 MGV983047 LWZ983047 LND983047 LDH983047 KTL983047 KJP983047 JZT983047 JPX983047 JGB983047 IWF983047 IMJ983047 ICN983047 HSR983047 HIV983047 GYZ983047 GPD983047 GFH983047 FVL983047 FLP983047 FBT983047 ERX983047 EIB983047 DYF983047 DOJ983047 DEN983047 CUR983047 CKV983047 CAZ983047 BRD983047 BHH983047 AXL983047 ANP983047 ADT983047 TX983047 KB983047 AB983047 WWN917511 WMR917511 WCV917511 VSZ917511 VJD917511 UZH917511 UPL917511 UFP917511 TVT917511 TLX917511 TCB917511 SSF917511 SIJ917511 RYN917511 ROR917511 REV917511 QUZ917511 QLD917511 QBH917511 PRL917511 PHP917511 OXT917511 ONX917511 OEB917511 NUF917511 NKJ917511 NAN917511 MQR917511 MGV917511 LWZ917511 LND917511 LDH917511 KTL917511 KJP917511 JZT917511 JPX917511 JGB917511 IWF917511 IMJ917511 ICN917511 HSR917511 HIV917511 GYZ917511 GPD917511 GFH917511 FVL917511 FLP917511 FBT917511 ERX917511 EIB917511 DYF917511 DOJ917511 DEN917511 CUR917511 CKV917511 CAZ917511 BRD917511 BHH917511 AXL917511 ANP917511 ADT917511 TX917511 KB917511 AB917511 WWN851975 WMR851975 WCV851975 VSZ851975 VJD851975 UZH851975 UPL851975 UFP851975 TVT851975 TLX851975 TCB851975 SSF851975 SIJ851975 RYN851975 ROR851975 REV851975 QUZ851975 QLD851975 QBH851975 PRL851975 PHP851975 OXT851975 ONX851975 OEB851975 NUF851975 NKJ851975 NAN851975 MQR851975 MGV851975 LWZ851975 LND851975 LDH851975 KTL851975 KJP851975 JZT851975 JPX851975 JGB851975 IWF851975 IMJ851975 ICN851975 HSR851975 HIV851975 GYZ851975 GPD851975 GFH851975 FVL851975 FLP851975 FBT851975 ERX851975 EIB851975 DYF851975 DOJ851975 DEN851975 CUR851975 CKV851975 CAZ851975 BRD851975 BHH851975 AXL851975 ANP851975 ADT851975 TX851975 KB851975 AB851975 WWN786439 WMR786439 WCV786439 VSZ786439 VJD786439 UZH786439 UPL786439 UFP786439 TVT786439 TLX786439 TCB786439 SSF786439 SIJ786439 RYN786439 ROR786439 REV786439 QUZ786439 QLD786439 QBH786439 PRL786439 PHP786439 OXT786439 ONX786439 OEB786439 NUF786439 NKJ786439 NAN786439 MQR786439 MGV786439 LWZ786439 LND786439 LDH786439 KTL786439 KJP786439 JZT786439 JPX786439 JGB786439 IWF786439 IMJ786439 ICN786439 HSR786439 HIV786439 GYZ786439 GPD786439 GFH786439 FVL786439 FLP786439 FBT786439 ERX786439 EIB786439 DYF786439 DOJ786439 DEN786439 CUR786439 CKV786439 CAZ786439 BRD786439 BHH786439 AXL786439 ANP786439 ADT786439 TX786439 KB786439 AB786439 WWN720903 WMR720903 WCV720903 VSZ720903 VJD720903 UZH720903 UPL720903 UFP720903 TVT720903 TLX720903 TCB720903 SSF720903 SIJ720903 RYN720903 ROR720903 REV720903 QUZ720903 QLD720903 QBH720903 PRL720903 PHP720903 OXT720903 ONX720903 OEB720903 NUF720903 NKJ720903 NAN720903 MQR720903 MGV720903 LWZ720903 LND720903 LDH720903 KTL720903 KJP720903 JZT720903 JPX720903 JGB720903 IWF720903 IMJ720903 ICN720903 HSR720903 HIV720903 GYZ720903 GPD720903 GFH720903 FVL720903 FLP720903 FBT720903 ERX720903 EIB720903 DYF720903 DOJ720903 DEN720903 CUR720903 CKV720903 CAZ720903 BRD720903 BHH720903 AXL720903 ANP720903 ADT720903 TX720903 KB720903 AB720903 WWN655367 WMR655367 WCV655367 VSZ655367 VJD655367 UZH655367 UPL655367 UFP655367 TVT655367 TLX655367 TCB655367 SSF655367 SIJ655367 RYN655367 ROR655367 REV655367 QUZ655367 QLD655367 QBH655367 PRL655367 PHP655367 OXT655367 ONX655367 OEB655367 NUF655367 NKJ655367 NAN655367 MQR655367 MGV655367 LWZ655367 LND655367 LDH655367 KTL655367 KJP655367 JZT655367 JPX655367 JGB655367 IWF655367 IMJ655367 ICN655367 HSR655367 HIV655367 GYZ655367 GPD655367 GFH655367 FVL655367 FLP655367 FBT655367 ERX655367 EIB655367 DYF655367 DOJ655367 DEN655367 CUR655367 CKV655367 CAZ655367 BRD655367 BHH655367 AXL655367 ANP655367 ADT655367 TX655367 KB655367 AB655367 WWN589831 WMR589831 WCV589831 VSZ589831 VJD589831 UZH589831 UPL589831 UFP589831 TVT589831 TLX589831 TCB589831 SSF589831 SIJ589831 RYN589831 ROR589831 REV589831 QUZ589831 QLD589831 QBH589831 PRL589831 PHP589831 OXT589831 ONX589831 OEB589831 NUF589831 NKJ589831 NAN589831 MQR589831 MGV589831 LWZ589831 LND589831 LDH589831 KTL589831 KJP589831 JZT589831 JPX589831 JGB589831 IWF589831 IMJ589831 ICN589831 HSR589831 HIV589831 GYZ589831 GPD589831 GFH589831 FVL589831 FLP589831 FBT589831 ERX589831 EIB589831 DYF589831 DOJ589831 DEN589831 CUR589831 CKV589831 CAZ589831 BRD589831 BHH589831 AXL589831 ANP589831 ADT589831 TX589831 KB589831 AB589831 WWN524295 WMR524295 WCV524295 VSZ524295 VJD524295 UZH524295 UPL524295 UFP524295 TVT524295 TLX524295 TCB524295 SSF524295 SIJ524295 RYN524295 ROR524295 REV524295 QUZ524295 QLD524295 QBH524295 PRL524295 PHP524295 OXT524295 ONX524295 OEB524295 NUF524295 NKJ524295 NAN524295 MQR524295 MGV524295 LWZ524295 LND524295 LDH524295 KTL524295 KJP524295 JZT524295 JPX524295 JGB524295 IWF524295 IMJ524295 ICN524295 HSR524295 HIV524295 GYZ524295 GPD524295 GFH524295 FVL524295 FLP524295 FBT524295 ERX524295 EIB524295 DYF524295 DOJ524295 DEN524295 CUR524295 CKV524295 CAZ524295 BRD524295 BHH524295 AXL524295 ANP524295 ADT524295 TX524295 KB524295 AB524295 WWN458759 WMR458759 WCV458759 VSZ458759 VJD458759 UZH458759 UPL458759 UFP458759 TVT458759 TLX458759 TCB458759 SSF458759 SIJ458759 RYN458759 ROR458759 REV458759 QUZ458759 QLD458759 QBH458759 PRL458759 PHP458759 OXT458759 ONX458759 OEB458759 NUF458759 NKJ458759 NAN458759 MQR458759 MGV458759 LWZ458759 LND458759 LDH458759 KTL458759 KJP458759 JZT458759 JPX458759 JGB458759 IWF458759 IMJ458759 ICN458759 HSR458759 HIV458759 GYZ458759 GPD458759 GFH458759 FVL458759 FLP458759 FBT458759 ERX458759 EIB458759 DYF458759 DOJ458759 DEN458759 CUR458759 CKV458759 CAZ458759 BRD458759 BHH458759 AXL458759 ANP458759 ADT458759 TX458759 KB458759 AB458759 WWN393223 WMR393223 WCV393223 VSZ393223 VJD393223 UZH393223 UPL393223 UFP393223 TVT393223 TLX393223 TCB393223 SSF393223 SIJ393223 RYN393223 ROR393223 REV393223 QUZ393223 QLD393223 QBH393223 PRL393223 PHP393223 OXT393223 ONX393223 OEB393223 NUF393223 NKJ393223 NAN393223 MQR393223 MGV393223 LWZ393223 LND393223 LDH393223 KTL393223 KJP393223 JZT393223 JPX393223 JGB393223 IWF393223 IMJ393223 ICN393223 HSR393223 HIV393223 GYZ393223 GPD393223 GFH393223 FVL393223 FLP393223 FBT393223 ERX393223 EIB393223 DYF393223 DOJ393223 DEN393223 CUR393223 CKV393223 CAZ393223 BRD393223 BHH393223 AXL393223 ANP393223 ADT393223 TX393223 KB393223 AB393223 WWN327687 WMR327687 WCV327687 VSZ327687 VJD327687 UZH327687 UPL327687 UFP327687 TVT327687 TLX327687 TCB327687 SSF327687 SIJ327687 RYN327687 ROR327687 REV327687 QUZ327687 QLD327687 QBH327687 PRL327687 PHP327687 OXT327687 ONX327687 OEB327687 NUF327687 NKJ327687 NAN327687 MQR327687 MGV327687 LWZ327687 LND327687 LDH327687 KTL327687 KJP327687 JZT327687 JPX327687 JGB327687 IWF327687 IMJ327687 ICN327687 HSR327687 HIV327687 GYZ327687 GPD327687 GFH327687 FVL327687 FLP327687 FBT327687 ERX327687 EIB327687 DYF327687 DOJ327687 DEN327687 CUR327687 CKV327687 CAZ327687 BRD327687 BHH327687 AXL327687 ANP327687 ADT327687 TX327687 KB327687 AB327687 WWN262151 WMR262151 WCV262151 VSZ262151 VJD262151 UZH262151 UPL262151 UFP262151 TVT262151 TLX262151 TCB262151 SSF262151 SIJ262151 RYN262151 ROR262151 REV262151 QUZ262151 QLD262151 QBH262151 PRL262151 PHP262151 OXT262151 ONX262151 OEB262151 NUF262151 NKJ262151 NAN262151 MQR262151 MGV262151 LWZ262151 LND262151 LDH262151 KTL262151 KJP262151 JZT262151 JPX262151 JGB262151 IWF262151 IMJ262151 ICN262151 HSR262151 HIV262151 GYZ262151 GPD262151 GFH262151 FVL262151 FLP262151 FBT262151 ERX262151 EIB262151 DYF262151 DOJ262151 DEN262151 CUR262151 CKV262151 CAZ262151 BRD262151 BHH262151 AXL262151 ANP262151 ADT262151 TX262151 KB262151 AB262151 WWN196615 WMR196615 WCV196615 VSZ196615 VJD196615 UZH196615 UPL196615 UFP196615 TVT196615 TLX196615 TCB196615 SSF196615 SIJ196615 RYN196615 ROR196615 REV196615 QUZ196615 QLD196615 QBH196615 PRL196615 PHP196615 OXT196615 ONX196615 OEB196615 NUF196615 NKJ196615 NAN196615 MQR196615 MGV196615 LWZ196615 LND196615 LDH196615 KTL196615 KJP196615 JZT196615 JPX196615 JGB196615 IWF196615 IMJ196615 ICN196615 HSR196615 HIV196615 GYZ196615 GPD196615 GFH196615 FVL196615 FLP196615 FBT196615 ERX196615 EIB196615 DYF196615 DOJ196615 DEN196615 CUR196615 CKV196615 CAZ196615 BRD196615 BHH196615 AXL196615 ANP196615 ADT196615 TX196615 KB196615 AB196615 WWN131079 WMR131079 WCV131079 VSZ131079 VJD131079 UZH131079 UPL131079 UFP131079 TVT131079 TLX131079 TCB131079 SSF131079 SIJ131079 RYN131079 ROR131079 REV131079 QUZ131079 QLD131079 QBH131079 PRL131079 PHP131079 OXT131079 ONX131079 OEB131079 NUF131079 NKJ131079 NAN131079 MQR131079 MGV131079 LWZ131079 LND131079 LDH131079 KTL131079 KJP131079 JZT131079 JPX131079 JGB131079 IWF131079 IMJ131079 ICN131079 HSR131079 HIV131079 GYZ131079 GPD131079 GFH131079 FVL131079 FLP131079 FBT131079 ERX131079 EIB131079 DYF131079 DOJ131079 DEN131079 CUR131079 CKV131079 CAZ131079 BRD131079 BHH131079 AXL131079 ANP131079 ADT131079 TX131079 KB131079 AB131079 WWN65543 WMR65543 WCV65543 VSZ65543 VJD65543 UZH65543 UPL65543 UFP65543 TVT65543 TLX65543 TCB65543 SSF65543 SIJ65543 RYN65543 ROR65543 REV65543 QUZ65543 QLD65543 QBH65543 PRL65543 PHP65543 OXT65543 ONX65543 OEB65543 NUF65543 NKJ65543 NAN65543 MQR65543 MGV65543 LWZ65543 LND65543 LDH65543 KTL65543 KJP65543 JZT65543 JPX65543 JGB65543 IWF65543 IMJ65543 ICN65543 HSR65543 HIV65543 GYZ65543 GPD65543 GFH65543 FVL65543 FLP65543 FBT65543 ERX65543 EIB65543 DYF65543 DOJ65543 DEN65543 CUR65543 CKV65543 CAZ65543 BRD65543 BHH65543 AXL65543 ANP65543 ADT65543 TX65543 KB65543 AB65543 WWN6 WMR6 WCV6 VSZ6 VJD6 UZH6 UPL6 UFP6 TVT6 TLX6 TCB6 SSF6 SIJ6 RYN6 ROR6 REV6 QUZ6 QLD6 QBH6 PRL6 PHP6 OXT6 ONX6 OEB6 NUF6 NKJ6 NAN6 MQR6 MGV6 LWZ6 LND6 LDH6 KTL6 KJP6 JZT6 JPX6 JGB6 IWF6 IMJ6 ICN6 HSR6 HIV6 GYZ6 GPD6 GFH6 FVL6 FLP6 FBT6 ERX6 EIB6 DYF6 DOJ6 DEN6 CUR6 CKV6 CAZ6 BRD6 BHH6 AXL6 ANP6 ADT6 TX6" xr:uid="{00000000-0002-0000-0500-000005000000}">
      <formula1>$AN$9:$AN$33</formula1>
    </dataValidation>
    <dataValidation type="list" allowBlank="1" showInputMessage="1" showErrorMessage="1" sqref="WWC983051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O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O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O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O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O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O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O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O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O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O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O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O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O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O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O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xr:uid="{00000000-0002-0000-0500-000006000000}">
      <formula1>$AG$11:$AG$16</formula1>
    </dataValidation>
    <dataValidation allowBlank="1" showInputMessage="1" showErrorMessage="1" promptTitle="INCOME TAX" prompt="FILL INCOME TAX DEDUCTION MANUALLY " sqref="X8" xr:uid="{00000000-0002-0000-0500-000007000000}"/>
  </dataValidations>
  <printOptions horizontalCentered="1"/>
  <pageMargins left="0.23622047244094491" right="0.23622047244094491" top="0.55118110236220474" bottom="0.35433070866141736" header="0.31496062992125984" footer="0.31496062992125984"/>
  <pageSetup paperSize="9" scale="50" fitToHeight="0" orientation="landscape" horizontalDpi="1200" verticalDpi="1200" r:id="rId1"/>
  <drawing r:id="rId2"/>
  <legacyDrawing r:id="rId3"/>
  <extLst>
    <ext xmlns:x14="http://schemas.microsoft.com/office/spreadsheetml/2009/9/main" uri="{CCE6A557-97BC-4b89-ADB6-D9C93CAAB3DF}">
      <x14:dataValidations xmlns:xm="http://schemas.microsoft.com/office/excel/2006/main" xWindow="882" yWindow="495" count="2">
        <x14:dataValidation type="list" allowBlank="1" showInputMessage="1" showErrorMessage="1" xr:uid="{00000000-0002-0000-0500-000008000000}">
          <x14:formula1>
            <xm:f>Master!$AL$9:$AL$32</xm:f>
          </x14:formula1>
          <xm:sqref>KB6</xm:sqref>
        </x14:dataValidation>
        <x14:dataValidation type="list" allowBlank="1" showInputMessage="1" showErrorMessage="1" xr:uid="{00000000-0002-0000-0500-000009000000}">
          <x14:formula1>
            <xm:f>Master!$AD$11:$AD$16</xm:f>
          </x14:formula1>
          <xm:sqref>JQ10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F0"/>
    <pageSetUpPr fitToPage="1"/>
  </sheetPr>
  <dimension ref="A1:W99"/>
  <sheetViews>
    <sheetView showGridLines="0" topLeftCell="A45" workbookViewId="0">
      <selection activeCell="T2" sqref="T2:U3"/>
    </sheetView>
  </sheetViews>
  <sheetFormatPr defaultColWidth="0" defaultRowHeight="14.4" zeroHeight="1"/>
  <cols>
    <col min="1" max="1" width="2.5546875" customWidth="1"/>
    <col min="2" max="3" width="3.77734375" customWidth="1"/>
    <col min="4" max="5" width="9.21875" customWidth="1"/>
    <col min="6" max="6" width="3.77734375" customWidth="1"/>
    <col min="7" max="7" width="4.44140625" customWidth="1"/>
    <col min="8" max="8" width="3.44140625" customWidth="1"/>
    <col min="9" max="9" width="12.77734375" customWidth="1"/>
    <col min="10" max="10" width="5.21875" customWidth="1"/>
    <col min="11" max="11" width="10.21875" customWidth="1"/>
    <col min="12" max="12" width="12" customWidth="1"/>
    <col min="13" max="13" width="9.5546875" customWidth="1"/>
    <col min="14" max="14" width="4.21875" customWidth="1"/>
    <col min="15" max="15" width="15.77734375" customWidth="1"/>
    <col min="16" max="16" width="2.77734375" bestFit="1" customWidth="1"/>
    <col min="17" max="17" width="17.21875" bestFit="1" customWidth="1"/>
    <col min="18" max="18" width="3.21875" customWidth="1"/>
    <col min="19" max="19" width="1.5546875" customWidth="1"/>
    <col min="20" max="20" width="13.77734375" customWidth="1"/>
    <col min="21" max="21" width="17.44140625" customWidth="1"/>
    <col min="22" max="22" width="19.21875" customWidth="1"/>
    <col min="23" max="23" width="8.77734375" customWidth="1"/>
    <col min="24" max="16384" width="8.77734375" hidden="1"/>
  </cols>
  <sheetData>
    <row r="1" spans="1:23" ht="12.6" customHeight="1" thickBot="1">
      <c r="A1" s="857"/>
      <c r="B1" s="858"/>
      <c r="C1" s="858"/>
      <c r="D1" s="858"/>
      <c r="E1" s="858"/>
      <c r="F1" s="858"/>
      <c r="G1" s="858"/>
      <c r="H1" s="858"/>
      <c r="I1" s="858"/>
      <c r="J1" s="858"/>
      <c r="K1" s="858"/>
      <c r="L1" s="858"/>
      <c r="M1" s="858"/>
      <c r="N1" s="858"/>
      <c r="O1" s="858"/>
      <c r="P1" s="858"/>
      <c r="Q1" s="858"/>
      <c r="R1" s="859"/>
      <c r="S1" s="170"/>
    </row>
    <row r="2" spans="1:23" ht="18" thickTop="1">
      <c r="A2" s="153"/>
      <c r="B2" s="872" t="str">
        <f>Salary!B3</f>
        <v>OFFICE OF THE  GOVT SENIOR SECONDARY SCHOOL RAJPURA PIPERAN,SRI GANGANAGAR</v>
      </c>
      <c r="C2" s="872"/>
      <c r="D2" s="872"/>
      <c r="E2" s="872"/>
      <c r="F2" s="872"/>
      <c r="G2" s="872"/>
      <c r="H2" s="872"/>
      <c r="I2" s="872"/>
      <c r="J2" s="872"/>
      <c r="K2" s="872"/>
      <c r="L2" s="872"/>
      <c r="M2" s="872"/>
      <c r="N2" s="872"/>
      <c r="O2" s="872"/>
      <c r="P2" s="873"/>
      <c r="Q2" s="870" t="str">
        <f>IF($W$2=1,"OLD REGIME","NEW REGIME")</f>
        <v>OLD REGIME</v>
      </c>
      <c r="R2" s="154"/>
      <c r="S2" s="130"/>
      <c r="T2" s="939"/>
      <c r="U2" s="940"/>
      <c r="W2" s="202">
        <v>1</v>
      </c>
    </row>
    <row r="3" spans="1:23" s="23" customFormat="1" ht="15" customHeight="1" thickBot="1">
      <c r="A3" s="155"/>
      <c r="B3" s="880" t="s">
        <v>978</v>
      </c>
      <c r="C3" s="880"/>
      <c r="D3" s="880"/>
      <c r="E3" s="880"/>
      <c r="F3" s="880"/>
      <c r="G3" s="880"/>
      <c r="H3" s="880"/>
      <c r="I3" s="880"/>
      <c r="J3" s="880"/>
      <c r="K3" s="880"/>
      <c r="L3" s="880"/>
      <c r="M3" s="880"/>
      <c r="N3" s="880"/>
      <c r="O3" s="880"/>
      <c r="P3" s="635" t="str">
        <f>P54</f>
        <v>1</v>
      </c>
      <c r="Q3" s="871"/>
      <c r="R3" s="156"/>
      <c r="S3" s="171"/>
      <c r="T3" s="941"/>
      <c r="U3" s="942"/>
    </row>
    <row r="4" spans="1:23" ht="16.8" thickTop="1" thickBot="1">
      <c r="A4" s="153"/>
      <c r="B4" s="372">
        <v>1</v>
      </c>
      <c r="C4" s="886" t="s">
        <v>523</v>
      </c>
      <c r="D4" s="886"/>
      <c r="E4" s="887" t="str">
        <f>'Gen Info'!C5</f>
        <v>HANS RAJ JOSHI</v>
      </c>
      <c r="F4" s="888"/>
      <c r="G4" s="888"/>
      <c r="H4" s="888"/>
      <c r="I4" s="888"/>
      <c r="J4" s="889"/>
      <c r="K4" s="147" t="s">
        <v>524</v>
      </c>
      <c r="L4" s="836" t="str">
        <f>'Gen Info'!C6</f>
        <v>Principal</v>
      </c>
      <c r="M4" s="837"/>
      <c r="N4" s="838"/>
      <c r="O4" s="16" t="s">
        <v>10</v>
      </c>
      <c r="P4" s="876" t="str">
        <f>'Gen Info'!C9</f>
        <v>XXXXX1234X</v>
      </c>
      <c r="Q4" s="877"/>
      <c r="R4" s="154"/>
      <c r="S4" s="130"/>
    </row>
    <row r="5" spans="1:23" ht="16.2" customHeight="1" thickTop="1">
      <c r="A5" s="153"/>
      <c r="B5" s="884">
        <v>2</v>
      </c>
      <c r="C5" s="560" t="s">
        <v>989</v>
      </c>
      <c r="D5" s="561"/>
      <c r="E5" s="561"/>
      <c r="F5" s="561"/>
      <c r="G5" s="561"/>
      <c r="H5" s="561"/>
      <c r="I5" s="561"/>
      <c r="J5" s="561"/>
      <c r="K5" s="561"/>
      <c r="L5" s="561"/>
      <c r="M5" s="561"/>
      <c r="N5" s="890">
        <f>IF('Gen Info'!$C$12="NO",SUM(Salary!$L$30,Master!$U$4),IF(AND('Gen Info'!$C$12="YES",'Gen Info'!$C$11="YES"),SUM(Salary!$L$30,Master!$U$4),SUM(Salary!$L$30,Salary!$M$30,Master!$U$4)))</f>
        <v>794000</v>
      </c>
      <c r="O5" s="891"/>
      <c r="P5" s="882" t="s">
        <v>257</v>
      </c>
      <c r="Q5" s="881">
        <f>N5+H6+N6</f>
        <v>794000</v>
      </c>
      <c r="R5" s="154"/>
      <c r="S5" s="130"/>
      <c r="T5" s="935" t="s">
        <v>174</v>
      </c>
      <c r="U5" s="935"/>
      <c r="V5" s="936"/>
    </row>
    <row r="6" spans="1:23" ht="14.55" customHeight="1">
      <c r="A6" s="153"/>
      <c r="B6" s="885"/>
      <c r="C6" s="560"/>
      <c r="D6" s="841" t="s">
        <v>893</v>
      </c>
      <c r="E6" s="842"/>
      <c r="F6" s="842"/>
      <c r="G6" s="843"/>
      <c r="H6" s="841">
        <f>'Pay &amp; Allowances'!I14</f>
        <v>0</v>
      </c>
      <c r="I6" s="843"/>
      <c r="J6" s="841" t="s">
        <v>892</v>
      </c>
      <c r="K6" s="842"/>
      <c r="L6" s="842"/>
      <c r="M6" s="843"/>
      <c r="N6" s="841">
        <f>'Pay &amp; Allowances'!I15</f>
        <v>0</v>
      </c>
      <c r="O6" s="843"/>
      <c r="P6" s="883"/>
      <c r="Q6" s="881"/>
      <c r="R6" s="154"/>
      <c r="S6" s="130"/>
      <c r="T6" s="937"/>
      <c r="U6" s="937"/>
      <c r="V6" s="938"/>
    </row>
    <row r="7" spans="1:23" ht="16.2" customHeight="1" thickBot="1">
      <c r="A7" s="153"/>
      <c r="B7" s="372">
        <v>3</v>
      </c>
      <c r="C7" s="844" t="s">
        <v>525</v>
      </c>
      <c r="D7" s="844"/>
      <c r="E7" s="844"/>
      <c r="F7" s="844"/>
      <c r="G7" s="844"/>
      <c r="H7" s="844"/>
      <c r="I7" s="844"/>
      <c r="J7" s="844"/>
      <c r="K7" s="844"/>
      <c r="L7" s="844"/>
      <c r="M7" s="844"/>
      <c r="N7" s="844"/>
      <c r="O7" s="844"/>
      <c r="P7" s="371" t="s">
        <v>593</v>
      </c>
      <c r="Q7" s="32">
        <f>IF($P$3="1",-SUM(HRA!$J$5,'Pay &amp; Allowances'!$H$12),0)</f>
        <v>0</v>
      </c>
      <c r="R7" s="154"/>
      <c r="S7" s="130"/>
      <c r="T7" s="617"/>
      <c r="U7" s="617"/>
      <c r="V7" s="618"/>
    </row>
    <row r="8" spans="1:23" ht="16.2" customHeight="1" thickTop="1">
      <c r="A8" s="153"/>
      <c r="B8" s="372">
        <v>4</v>
      </c>
      <c r="C8" s="845" t="s">
        <v>526</v>
      </c>
      <c r="D8" s="845"/>
      <c r="E8" s="845"/>
      <c r="F8" s="845"/>
      <c r="G8" s="845"/>
      <c r="H8" s="845"/>
      <c r="I8" s="845"/>
      <c r="J8" s="845"/>
      <c r="K8" s="845"/>
      <c r="L8" s="845"/>
      <c r="M8" s="845"/>
      <c r="N8" s="845"/>
      <c r="O8" s="845"/>
      <c r="P8" s="371" t="s">
        <v>593</v>
      </c>
      <c r="Q8" s="32">
        <f>$Q$5+$Q$7</f>
        <v>794000</v>
      </c>
      <c r="R8" s="154"/>
      <c r="S8" s="130"/>
      <c r="T8" s="622" t="s">
        <v>942</v>
      </c>
      <c r="U8" s="622" t="s">
        <v>167</v>
      </c>
      <c r="V8" s="619" t="s">
        <v>166</v>
      </c>
    </row>
    <row r="9" spans="1:23" ht="15.6" customHeight="1">
      <c r="A9" s="153"/>
      <c r="B9" s="856">
        <v>5</v>
      </c>
      <c r="C9" s="847" t="s">
        <v>527</v>
      </c>
      <c r="D9" s="847"/>
      <c r="E9" s="847"/>
      <c r="F9" s="847"/>
      <c r="G9" s="847"/>
      <c r="H9" s="847"/>
      <c r="I9" s="847"/>
      <c r="J9" s="847"/>
      <c r="K9" s="847"/>
      <c r="L9" s="847"/>
      <c r="M9" s="839">
        <f>IF($P$3="1",IF('Pay &amp; Allowances'!$I$12&gt;5000,5000,'Pay &amp; Allowances'!$I$12),0)</f>
        <v>0</v>
      </c>
      <c r="N9" s="839"/>
      <c r="O9" s="839"/>
      <c r="P9" s="879"/>
      <c r="Q9" s="879"/>
      <c r="R9" s="154"/>
      <c r="S9" s="130"/>
      <c r="T9" s="620" t="s">
        <v>941</v>
      </c>
      <c r="U9" s="621">
        <f>Master!R90</f>
        <v>565000</v>
      </c>
      <c r="V9" s="621">
        <f>Master!S90</f>
        <v>719000</v>
      </c>
    </row>
    <row r="10" spans="1:23" ht="15.6">
      <c r="A10" s="153"/>
      <c r="B10" s="856"/>
      <c r="C10" s="847" t="s">
        <v>528</v>
      </c>
      <c r="D10" s="847"/>
      <c r="E10" s="847"/>
      <c r="F10" s="847"/>
      <c r="G10" s="847"/>
      <c r="H10" s="847"/>
      <c r="I10" s="847"/>
      <c r="J10" s="847"/>
      <c r="K10" s="847"/>
      <c r="L10" s="847"/>
      <c r="M10" s="839">
        <f>IF($P$3="1",'Pay &amp; Allowances'!J12,0)</f>
        <v>0</v>
      </c>
      <c r="N10" s="839"/>
      <c r="O10" s="839"/>
      <c r="P10" s="879"/>
      <c r="Q10" s="879"/>
      <c r="R10" s="154"/>
      <c r="S10" s="130"/>
      <c r="T10" s="152" t="s">
        <v>175</v>
      </c>
      <c r="U10" s="131">
        <f>Master!R103</f>
        <v>25500</v>
      </c>
      <c r="V10" s="149">
        <f>Master!S101-Master!S102-Master!N110</f>
        <v>19000</v>
      </c>
    </row>
    <row r="11" spans="1:23" ht="15.6">
      <c r="A11" s="153"/>
      <c r="B11" s="856"/>
      <c r="C11" s="847" t="s">
        <v>529</v>
      </c>
      <c r="D11" s="847"/>
      <c r="E11" s="847"/>
      <c r="F11" s="847"/>
      <c r="G11" s="847"/>
      <c r="H11" s="847"/>
      <c r="I11" s="847"/>
      <c r="J11" s="847"/>
      <c r="K11" s="847"/>
      <c r="L11" s="847"/>
      <c r="M11" s="839">
        <f>IF(AND($P$3="1"),MIN($Q$8,50000),IF(AND($P$3="2"),MIN($Q$8,75000),0))</f>
        <v>50000</v>
      </c>
      <c r="N11" s="839"/>
      <c r="O11" s="839"/>
      <c r="P11" s="371" t="s">
        <v>593</v>
      </c>
      <c r="Q11" s="32">
        <f>-SUM(M9:O11)</f>
        <v>-50000</v>
      </c>
      <c r="R11" s="154"/>
      <c r="S11" s="130"/>
      <c r="T11" s="152" t="s">
        <v>176</v>
      </c>
      <c r="U11" s="131">
        <f>ROUND(U10*4%,0)</f>
        <v>1020</v>
      </c>
      <c r="V11" s="149">
        <f>ROUND(V10*4%,0)</f>
        <v>760</v>
      </c>
    </row>
    <row r="12" spans="1:23" ht="15.6" customHeight="1">
      <c r="A12" s="153"/>
      <c r="B12" s="372">
        <v>6</v>
      </c>
      <c r="C12" s="845" t="s">
        <v>530</v>
      </c>
      <c r="D12" s="845"/>
      <c r="E12" s="845"/>
      <c r="F12" s="845"/>
      <c r="G12" s="845"/>
      <c r="H12" s="845"/>
      <c r="I12" s="845"/>
      <c r="J12" s="845"/>
      <c r="K12" s="845"/>
      <c r="L12" s="845"/>
      <c r="M12" s="845"/>
      <c r="N12" s="845"/>
      <c r="O12" s="845"/>
      <c r="P12" s="371" t="s">
        <v>593</v>
      </c>
      <c r="Q12" s="32">
        <f>Q8+Q11</f>
        <v>744000</v>
      </c>
      <c r="R12" s="154"/>
      <c r="S12" s="130"/>
      <c r="T12" s="874" t="s">
        <v>6</v>
      </c>
      <c r="U12" s="132">
        <f>SUM(U10:U11)</f>
        <v>26520</v>
      </c>
      <c r="V12" s="150">
        <f>SUM(V10:V11)</f>
        <v>19760</v>
      </c>
    </row>
    <row r="13" spans="1:23" ht="15.6" customHeight="1" thickBot="1">
      <c r="A13" s="153"/>
      <c r="B13" s="856">
        <v>7</v>
      </c>
      <c r="C13" s="844" t="s">
        <v>532</v>
      </c>
      <c r="D13" s="844"/>
      <c r="E13" s="844"/>
      <c r="F13" s="844"/>
      <c r="G13" s="844"/>
      <c r="H13" s="844"/>
      <c r="I13" s="844"/>
      <c r="J13" s="844"/>
      <c r="K13" s="846" t="s">
        <v>531</v>
      </c>
      <c r="L13" s="846"/>
      <c r="M13" s="839">
        <f>Deductions!E9</f>
        <v>0</v>
      </c>
      <c r="N13" s="839"/>
      <c r="O13" s="839"/>
      <c r="P13" s="878"/>
      <c r="Q13" s="878"/>
      <c r="R13" s="154"/>
      <c r="S13" s="130"/>
      <c r="T13" s="875"/>
      <c r="U13" s="133"/>
      <c r="V13" s="151"/>
    </row>
    <row r="14" spans="1:23">
      <c r="A14" s="153"/>
      <c r="B14" s="856"/>
      <c r="C14" s="840" t="s">
        <v>533</v>
      </c>
      <c r="D14" s="840"/>
      <c r="E14" s="846" t="s">
        <v>534</v>
      </c>
      <c r="F14" s="846"/>
      <c r="G14" s="846"/>
      <c r="H14" s="856" t="s">
        <v>535</v>
      </c>
      <c r="I14" s="856"/>
      <c r="J14" s="856"/>
      <c r="K14" s="856" t="s">
        <v>536</v>
      </c>
      <c r="L14" s="856"/>
      <c r="M14" s="852" t="s">
        <v>537</v>
      </c>
      <c r="N14" s="853"/>
      <c r="O14" s="854"/>
      <c r="P14" s="878"/>
      <c r="Q14" s="878"/>
      <c r="R14" s="154"/>
      <c r="S14" s="130"/>
      <c r="T14" s="864" t="s">
        <v>178</v>
      </c>
      <c r="U14" s="866">
        <f>U12-V12</f>
        <v>6760</v>
      </c>
      <c r="V14" s="867"/>
    </row>
    <row r="15" spans="1:23" ht="16.2" thickBot="1">
      <c r="A15" s="153"/>
      <c r="B15" s="856"/>
      <c r="C15" s="840"/>
      <c r="D15" s="840"/>
      <c r="E15" s="839">
        <f>IF(OR($P$3="1",$P$3="2"),ROUND((M13-K15)*0.3,0),0)</f>
        <v>0</v>
      </c>
      <c r="F15" s="839"/>
      <c r="G15" s="839"/>
      <c r="H15" s="839">
        <f>IF($P$3="1",IF((Salary!$S$30+Deductions!E12)&gt;200000,200000,(Salary!$S$30+Deductions!E12)),0)</f>
        <v>29000</v>
      </c>
      <c r="I15" s="839"/>
      <c r="J15" s="839"/>
      <c r="K15" s="839">
        <f>IF(OR($P$3="1",$P$3="2"),Deductions!E10,0)</f>
        <v>0</v>
      </c>
      <c r="L15" s="839"/>
      <c r="M15" s="839">
        <f>E15+H15+K15</f>
        <v>29000</v>
      </c>
      <c r="N15" s="839"/>
      <c r="O15" s="839"/>
      <c r="P15" s="878"/>
      <c r="Q15" s="878"/>
      <c r="R15" s="154"/>
      <c r="S15" s="130"/>
      <c r="T15" s="865"/>
      <c r="U15" s="868"/>
      <c r="V15" s="869"/>
    </row>
    <row r="16" spans="1:23" ht="15.6">
      <c r="A16" s="153"/>
      <c r="B16" s="372"/>
      <c r="C16" s="846" t="s">
        <v>538</v>
      </c>
      <c r="D16" s="846"/>
      <c r="E16" s="846"/>
      <c r="F16" s="846"/>
      <c r="G16" s="846"/>
      <c r="H16" s="846"/>
      <c r="I16" s="846"/>
      <c r="J16" s="846"/>
      <c r="K16" s="846"/>
      <c r="L16" s="846"/>
      <c r="M16" s="846"/>
      <c r="N16" s="846"/>
      <c r="O16" s="846"/>
      <c r="P16" s="371" t="s">
        <v>593</v>
      </c>
      <c r="Q16" s="32">
        <f>M13-M15</f>
        <v>-29000</v>
      </c>
      <c r="R16" s="154"/>
      <c r="S16" s="130"/>
      <c r="T16" s="860" t="str">
        <f>IF(U12&lt;V12,"OLD REGIME IS BEST OPTION FOR YOU","NEW REGIME IS BEST FOR YOU")</f>
        <v>NEW REGIME IS BEST FOR YOU</v>
      </c>
      <c r="U16" s="860"/>
      <c r="V16" s="861"/>
      <c r="W16" s="180"/>
    </row>
    <row r="17" spans="1:23" ht="16.2" thickBot="1">
      <c r="A17" s="153"/>
      <c r="B17" s="372">
        <v>8</v>
      </c>
      <c r="C17" s="846" t="s">
        <v>539</v>
      </c>
      <c r="D17" s="846"/>
      <c r="E17" s="846"/>
      <c r="F17" s="846"/>
      <c r="G17" s="846"/>
      <c r="H17" s="846"/>
      <c r="I17" s="846"/>
      <c r="J17" s="846"/>
      <c r="K17" s="846"/>
      <c r="L17" s="846"/>
      <c r="M17" s="846"/>
      <c r="N17" s="846"/>
      <c r="O17" s="846"/>
      <c r="P17" s="371" t="s">
        <v>593</v>
      </c>
      <c r="Q17" s="32">
        <f>Q12+Q16</f>
        <v>715000</v>
      </c>
      <c r="R17" s="154"/>
      <c r="S17" s="130"/>
      <c r="T17" s="862"/>
      <c r="U17" s="862"/>
      <c r="V17" s="863"/>
      <c r="W17" s="180"/>
    </row>
    <row r="18" spans="1:23" ht="16.2" thickTop="1">
      <c r="A18" s="153"/>
      <c r="B18" s="372">
        <v>9</v>
      </c>
      <c r="C18" s="844" t="s">
        <v>540</v>
      </c>
      <c r="D18" s="844"/>
      <c r="E18" s="844"/>
      <c r="F18" s="844"/>
      <c r="G18" s="844"/>
      <c r="H18" s="844"/>
      <c r="I18" s="844"/>
      <c r="J18" s="844"/>
      <c r="K18" s="844"/>
      <c r="L18" s="844"/>
      <c r="M18" s="844"/>
      <c r="N18" s="844"/>
      <c r="O18" s="844"/>
      <c r="P18" s="371" t="s">
        <v>593</v>
      </c>
      <c r="Q18" s="32">
        <f>Deductions!E7+Deductions!E8</f>
        <v>0</v>
      </c>
      <c r="R18" s="154"/>
      <c r="S18" s="130"/>
    </row>
    <row r="19" spans="1:23" ht="15.6">
      <c r="A19" s="153"/>
      <c r="B19" s="372">
        <v>10</v>
      </c>
      <c r="C19" s="844" t="s">
        <v>541</v>
      </c>
      <c r="D19" s="844"/>
      <c r="E19" s="844"/>
      <c r="F19" s="844"/>
      <c r="G19" s="844"/>
      <c r="H19" s="844"/>
      <c r="I19" s="844"/>
      <c r="J19" s="844"/>
      <c r="K19" s="844"/>
      <c r="L19" s="844"/>
      <c r="M19" s="844"/>
      <c r="N19" s="844"/>
      <c r="O19" s="844"/>
      <c r="P19" s="371" t="s">
        <v>593</v>
      </c>
      <c r="Q19" s="32">
        <f>Deductions!E6</f>
        <v>0</v>
      </c>
      <c r="R19" s="154"/>
      <c r="S19" s="130"/>
      <c r="V19" s="345">
        <v>1</v>
      </c>
    </row>
    <row r="20" spans="1:23" ht="15.6">
      <c r="A20" s="153"/>
      <c r="B20" s="372">
        <v>11</v>
      </c>
      <c r="C20" s="844" t="s">
        <v>596</v>
      </c>
      <c r="D20" s="844"/>
      <c r="E20" s="844"/>
      <c r="F20" s="844"/>
      <c r="G20" s="844"/>
      <c r="H20" s="844"/>
      <c r="I20" s="844"/>
      <c r="J20" s="844"/>
      <c r="K20" s="844"/>
      <c r="L20" s="844"/>
      <c r="M20" s="844"/>
      <c r="N20" s="844"/>
      <c r="O20" s="844"/>
      <c r="P20" s="371" t="s">
        <v>593</v>
      </c>
      <c r="Q20" s="31">
        <f>Q17+Q18+Q19</f>
        <v>715000</v>
      </c>
      <c r="R20" s="154"/>
      <c r="S20" s="130"/>
    </row>
    <row r="21" spans="1:23" ht="15.6">
      <c r="A21" s="153"/>
      <c r="B21" s="856">
        <v>12</v>
      </c>
      <c r="C21" s="844" t="s">
        <v>542</v>
      </c>
      <c r="D21" s="844"/>
      <c r="E21" s="844"/>
      <c r="F21" s="844"/>
      <c r="G21" s="844"/>
      <c r="H21" s="844"/>
      <c r="I21" s="844"/>
      <c r="J21" s="844"/>
      <c r="K21" s="844"/>
      <c r="L21" s="844"/>
      <c r="M21" s="844"/>
      <c r="N21" s="844"/>
      <c r="O21" s="844"/>
      <c r="P21" s="844"/>
      <c r="Q21" s="844"/>
      <c r="R21" s="154"/>
      <c r="S21" s="130"/>
    </row>
    <row r="22" spans="1:23">
      <c r="A22" s="153"/>
      <c r="B22" s="856"/>
      <c r="C22" s="847" t="s">
        <v>543</v>
      </c>
      <c r="D22" s="847"/>
      <c r="E22" s="847"/>
      <c r="F22" s="847"/>
      <c r="G22" s="847"/>
      <c r="H22" s="847"/>
      <c r="I22" s="847"/>
      <c r="J22" s="847"/>
      <c r="K22" s="847"/>
      <c r="L22" s="847"/>
      <c r="M22" s="847"/>
      <c r="N22" s="847"/>
      <c r="O22" s="847"/>
      <c r="P22" s="847"/>
      <c r="Q22" s="847"/>
      <c r="R22" s="154"/>
      <c r="S22" s="130"/>
    </row>
    <row r="23" spans="1:23" ht="29.55" customHeight="1">
      <c r="A23" s="153"/>
      <c r="B23" s="856"/>
      <c r="C23" s="17" t="s">
        <v>31</v>
      </c>
      <c r="D23" s="849" t="s">
        <v>547</v>
      </c>
      <c r="E23" s="850"/>
      <c r="F23" s="850"/>
      <c r="G23" s="851"/>
      <c r="H23" s="371" t="s">
        <v>593</v>
      </c>
      <c r="I23" s="363">
        <f>IF($P$3="1",Salary!$O$30,0)</f>
        <v>84000</v>
      </c>
      <c r="J23" s="17" t="s">
        <v>33</v>
      </c>
      <c r="K23" s="932"/>
      <c r="L23" s="933"/>
      <c r="M23" s="934"/>
      <c r="N23" s="371" t="s">
        <v>593</v>
      </c>
      <c r="O23" s="363"/>
      <c r="P23" s="848"/>
      <c r="Q23" s="848"/>
      <c r="R23" s="154"/>
      <c r="S23" s="130"/>
    </row>
    <row r="24" spans="1:23" ht="15.6">
      <c r="A24" s="153"/>
      <c r="B24" s="856"/>
      <c r="C24" s="17" t="s">
        <v>35</v>
      </c>
      <c r="D24" s="849" t="s">
        <v>546</v>
      </c>
      <c r="E24" s="850"/>
      <c r="F24" s="850"/>
      <c r="G24" s="851"/>
      <c r="H24" s="371" t="s">
        <v>593</v>
      </c>
      <c r="I24" s="363">
        <f>IF($P$3="1",Salary!$T$30+Deductions!E13,0)</f>
        <v>5628</v>
      </c>
      <c r="J24" s="17" t="s">
        <v>37</v>
      </c>
      <c r="K24" s="855" t="s">
        <v>545</v>
      </c>
      <c r="L24" s="855"/>
      <c r="M24" s="855"/>
      <c r="N24" s="371" t="s">
        <v>593</v>
      </c>
      <c r="O24" s="363">
        <f>IF($P$3="1",Deductions!Q9,0)</f>
        <v>0</v>
      </c>
      <c r="P24" s="848"/>
      <c r="Q24" s="848"/>
      <c r="R24" s="154"/>
      <c r="S24" s="130"/>
    </row>
    <row r="25" spans="1:23" ht="15.6">
      <c r="A25" s="153"/>
      <c r="B25" s="856"/>
      <c r="C25" s="17" t="s">
        <v>39</v>
      </c>
      <c r="D25" s="849" t="s">
        <v>548</v>
      </c>
      <c r="E25" s="850"/>
      <c r="F25" s="850"/>
      <c r="G25" s="851"/>
      <c r="H25" s="371" t="s">
        <v>593</v>
      </c>
      <c r="I25" s="363">
        <f>IF($P$3="1",Deductions!E17,0)</f>
        <v>50000</v>
      </c>
      <c r="J25" s="17" t="s">
        <v>41</v>
      </c>
      <c r="K25" s="855" t="s">
        <v>544</v>
      </c>
      <c r="L25" s="855"/>
      <c r="M25" s="855"/>
      <c r="N25" s="371" t="s">
        <v>593</v>
      </c>
      <c r="O25" s="363">
        <f>IF($P$3="1",Deductions!E18,0)</f>
        <v>0</v>
      </c>
      <c r="P25" s="848"/>
      <c r="Q25" s="848"/>
      <c r="R25" s="154"/>
      <c r="S25" s="130"/>
    </row>
    <row r="26" spans="1:23" ht="15.6">
      <c r="A26" s="153"/>
      <c r="B26" s="856"/>
      <c r="C26" s="17" t="s">
        <v>43</v>
      </c>
      <c r="D26" s="849" t="s">
        <v>549</v>
      </c>
      <c r="E26" s="850"/>
      <c r="F26" s="850"/>
      <c r="G26" s="851"/>
      <c r="H26" s="371" t="s">
        <v>593</v>
      </c>
      <c r="I26" s="363">
        <f>IF($P$3="1",Deductions!E19,0)</f>
        <v>0</v>
      </c>
      <c r="J26" s="17" t="s">
        <v>45</v>
      </c>
      <c r="K26" s="855" t="s">
        <v>550</v>
      </c>
      <c r="L26" s="855"/>
      <c r="M26" s="855"/>
      <c r="N26" s="371" t="s">
        <v>593</v>
      </c>
      <c r="O26" s="363">
        <f>IF($P$3="1",Deductions!E15,0)</f>
        <v>0</v>
      </c>
      <c r="P26" s="848"/>
      <c r="Q26" s="848"/>
      <c r="R26" s="154"/>
      <c r="S26" s="130"/>
    </row>
    <row r="27" spans="1:23" ht="15.6">
      <c r="A27" s="153"/>
      <c r="B27" s="856"/>
      <c r="C27" s="17" t="s">
        <v>47</v>
      </c>
      <c r="D27" s="849" t="s">
        <v>877</v>
      </c>
      <c r="E27" s="850"/>
      <c r="F27" s="850"/>
      <c r="G27" s="851"/>
      <c r="H27" s="371" t="s">
        <v>593</v>
      </c>
      <c r="I27" s="363">
        <f>IF($P$3="1",Deductions!E20,0)</f>
        <v>0</v>
      </c>
      <c r="J27" s="17" t="s">
        <v>48</v>
      </c>
      <c r="K27" s="855" t="s">
        <v>551</v>
      </c>
      <c r="L27" s="855"/>
      <c r="M27" s="855"/>
      <c r="N27" s="371" t="s">
        <v>593</v>
      </c>
      <c r="O27" s="363">
        <f>IF($P$3="1",Deductions!Q18,0)</f>
        <v>0</v>
      </c>
      <c r="P27" s="848"/>
      <c r="Q27" s="848"/>
      <c r="R27" s="154"/>
      <c r="S27" s="130"/>
    </row>
    <row r="28" spans="1:23" ht="15.6" customHeight="1">
      <c r="A28" s="153"/>
      <c r="B28" s="856"/>
      <c r="C28" s="17" t="s">
        <v>50</v>
      </c>
      <c r="D28" s="849" t="str">
        <f>IF('Gen Info'!C11="NO","सामान्य प्रावधायी  निधि (GPF)","जीपीएफ 2004")</f>
        <v>सामान्य प्रावधायी  निधि (GPF)</v>
      </c>
      <c r="E28" s="850"/>
      <c r="F28" s="850"/>
      <c r="G28" s="851"/>
      <c r="H28" s="371" t="s">
        <v>593</v>
      </c>
      <c r="I28" s="363">
        <f>IF(AND($P$3="1"),Salary!$M$30,0)</f>
        <v>0</v>
      </c>
      <c r="J28" s="17" t="s">
        <v>51</v>
      </c>
      <c r="K28" s="855" t="s">
        <v>552</v>
      </c>
      <c r="L28" s="855"/>
      <c r="M28" s="855"/>
      <c r="N28" s="371" t="s">
        <v>593</v>
      </c>
      <c r="O28" s="363">
        <f>IF($P$3="1",Deductions!Q19,0)</f>
        <v>0</v>
      </c>
      <c r="P28" s="848"/>
      <c r="Q28" s="848"/>
      <c r="R28" s="154"/>
      <c r="S28" s="130"/>
    </row>
    <row r="29" spans="1:23" ht="15.6">
      <c r="A29" s="153"/>
      <c r="B29" s="856"/>
      <c r="C29" s="17" t="s">
        <v>53</v>
      </c>
      <c r="D29" s="849" t="s">
        <v>553</v>
      </c>
      <c r="E29" s="850"/>
      <c r="F29" s="850"/>
      <c r="G29" s="851"/>
      <c r="H29" s="371" t="s">
        <v>593</v>
      </c>
      <c r="I29" s="364">
        <f>IF($P$3="1",Salary!$V$30,0)</f>
        <v>2100</v>
      </c>
      <c r="J29" s="17" t="s">
        <v>55</v>
      </c>
      <c r="K29" s="855" t="s">
        <v>554</v>
      </c>
      <c r="L29" s="855"/>
      <c r="M29" s="855"/>
      <c r="N29" s="371" t="s">
        <v>593</v>
      </c>
      <c r="O29" s="363">
        <f>IF($P$3="1",Deductions!E14,0)</f>
        <v>14000</v>
      </c>
      <c r="P29" s="848"/>
      <c r="Q29" s="848"/>
      <c r="R29" s="154"/>
      <c r="S29" s="130"/>
    </row>
    <row r="30" spans="1:23" ht="15.6">
      <c r="A30" s="153"/>
      <c r="B30" s="856"/>
      <c r="C30" s="17" t="s">
        <v>57</v>
      </c>
      <c r="D30" s="849" t="s">
        <v>555</v>
      </c>
      <c r="E30" s="850"/>
      <c r="F30" s="850"/>
      <c r="G30" s="851"/>
      <c r="H30" s="371" t="s">
        <v>593</v>
      </c>
      <c r="I30" s="364">
        <f>IF($P$3="1",Deductions!E16,0)</f>
        <v>0</v>
      </c>
      <c r="J30" s="17" t="s">
        <v>59</v>
      </c>
      <c r="K30" s="855" t="s">
        <v>556</v>
      </c>
      <c r="L30" s="855"/>
      <c r="M30" s="855"/>
      <c r="N30" s="371" t="s">
        <v>593</v>
      </c>
      <c r="O30" s="363">
        <f>IF($P$3="1",Deductions!Q8,0)</f>
        <v>0</v>
      </c>
      <c r="P30" s="848"/>
      <c r="Q30" s="848"/>
      <c r="R30" s="154"/>
      <c r="S30" s="130"/>
    </row>
    <row r="31" spans="1:23" ht="15.6">
      <c r="A31" s="153"/>
      <c r="B31" s="856"/>
      <c r="C31" s="17" t="s">
        <v>61</v>
      </c>
      <c r="D31" s="849" t="s">
        <v>557</v>
      </c>
      <c r="E31" s="850"/>
      <c r="F31" s="850"/>
      <c r="G31" s="851"/>
      <c r="H31" s="371" t="s">
        <v>593</v>
      </c>
      <c r="I31" s="363">
        <f>IF($P$3="1",Deductions!E11+Salary!$R$30,0)</f>
        <v>30000</v>
      </c>
      <c r="J31" s="17" t="s">
        <v>63</v>
      </c>
      <c r="K31" s="855" t="s">
        <v>558</v>
      </c>
      <c r="L31" s="855"/>
      <c r="M31" s="855"/>
      <c r="N31" s="371" t="s">
        <v>593</v>
      </c>
      <c r="O31" s="363">
        <f>IF($P$3="1",Deductions!E21,0)</f>
        <v>0</v>
      </c>
      <c r="P31" s="848"/>
      <c r="Q31" s="848"/>
      <c r="R31" s="154"/>
      <c r="S31" s="130"/>
    </row>
    <row r="32" spans="1:23" ht="15.6">
      <c r="A32" s="153"/>
      <c r="B32" s="856"/>
      <c r="C32" s="929" t="s">
        <v>559</v>
      </c>
      <c r="D32" s="929"/>
      <c r="E32" s="929"/>
      <c r="F32" s="929"/>
      <c r="G32" s="929"/>
      <c r="H32" s="929"/>
      <c r="I32" s="929"/>
      <c r="J32" s="929"/>
      <c r="K32" s="929"/>
      <c r="L32" s="929"/>
      <c r="M32" s="929"/>
      <c r="N32" s="371" t="s">
        <v>593</v>
      </c>
      <c r="O32" s="365">
        <f>SUM(I23:I31)+SUM(O23:O31)</f>
        <v>185728</v>
      </c>
      <c r="P32" s="848"/>
      <c r="Q32" s="848"/>
      <c r="R32" s="154"/>
      <c r="S32" s="130"/>
    </row>
    <row r="33" spans="1:19" ht="15.6">
      <c r="A33" s="153"/>
      <c r="B33" s="856"/>
      <c r="C33" s="845" t="s">
        <v>560</v>
      </c>
      <c r="D33" s="845"/>
      <c r="E33" s="845"/>
      <c r="F33" s="845"/>
      <c r="G33" s="845"/>
      <c r="H33" s="845"/>
      <c r="I33" s="845"/>
      <c r="J33" s="845"/>
      <c r="K33" s="845"/>
      <c r="L33" s="845"/>
      <c r="M33" s="845"/>
      <c r="N33" s="845"/>
      <c r="O33" s="845"/>
      <c r="P33" s="371" t="s">
        <v>593</v>
      </c>
      <c r="Q33" s="31">
        <f>IF(O32&lt;150001,ROUND(O32,0),150000)</f>
        <v>150000</v>
      </c>
      <c r="R33" s="154"/>
      <c r="S33" s="130"/>
    </row>
    <row r="34" spans="1:19" ht="15.6">
      <c r="A34" s="153"/>
      <c r="B34" s="856"/>
      <c r="C34" s="928" t="s">
        <v>561</v>
      </c>
      <c r="D34" s="928"/>
      <c r="E34" s="928"/>
      <c r="F34" s="928"/>
      <c r="G34" s="928"/>
      <c r="H34" s="928"/>
      <c r="I34" s="928"/>
      <c r="J34" s="928"/>
      <c r="K34" s="928"/>
      <c r="L34" s="928"/>
      <c r="M34" s="928"/>
      <c r="N34" s="928"/>
      <c r="O34" s="928"/>
      <c r="P34" s="371" t="s">
        <v>593</v>
      </c>
      <c r="Q34" s="32">
        <f>IF(AND('Gen Info'!C12="Yes"),Salary!$M$30,0)</f>
        <v>0</v>
      </c>
      <c r="R34" s="154"/>
      <c r="S34" s="130"/>
    </row>
    <row r="35" spans="1:19" ht="15.6" customHeight="1">
      <c r="A35" s="153"/>
      <c r="B35" s="856"/>
      <c r="C35" s="928" t="s">
        <v>562</v>
      </c>
      <c r="D35" s="928"/>
      <c r="E35" s="928"/>
      <c r="F35" s="928"/>
      <c r="G35" s="928"/>
      <c r="H35" s="928"/>
      <c r="I35" s="928"/>
      <c r="J35" s="928"/>
      <c r="K35" s="928"/>
      <c r="L35" s="928"/>
      <c r="M35" s="928"/>
      <c r="N35" s="928"/>
      <c r="O35" s="928"/>
      <c r="P35" s="371" t="s">
        <v>593</v>
      </c>
      <c r="Q35" s="32">
        <f>IF($P$3="1",Deductions!Q10,0)</f>
        <v>0</v>
      </c>
      <c r="R35" s="154"/>
      <c r="S35" s="130"/>
    </row>
    <row r="36" spans="1:19" ht="15.6">
      <c r="A36" s="153"/>
      <c r="B36" s="856"/>
      <c r="C36" s="925" t="s">
        <v>595</v>
      </c>
      <c r="D36" s="925"/>
      <c r="E36" s="925"/>
      <c r="F36" s="925"/>
      <c r="G36" s="925"/>
      <c r="H36" s="925"/>
      <c r="I36" s="925"/>
      <c r="J36" s="925"/>
      <c r="K36" s="925"/>
      <c r="L36" s="925"/>
      <c r="M36" s="925"/>
      <c r="N36" s="925"/>
      <c r="O36" s="925"/>
      <c r="P36" s="371" t="s">
        <v>593</v>
      </c>
      <c r="Q36" s="31">
        <f>SUM(Q33:Q35)</f>
        <v>150000</v>
      </c>
      <c r="R36" s="154"/>
      <c r="S36" s="130"/>
    </row>
    <row r="37" spans="1:19" ht="14.55" customHeight="1">
      <c r="A37" s="153"/>
      <c r="B37" s="373">
        <v>13</v>
      </c>
      <c r="C37" s="886" t="s">
        <v>563</v>
      </c>
      <c r="D37" s="886"/>
      <c r="E37" s="886"/>
      <c r="F37" s="886"/>
      <c r="G37" s="886"/>
      <c r="H37" s="886"/>
      <c r="I37" s="886"/>
      <c r="J37" s="886"/>
      <c r="K37" s="886"/>
      <c r="L37" s="886"/>
      <c r="M37" s="886"/>
      <c r="N37" s="886"/>
      <c r="O37" s="886"/>
      <c r="P37" s="886"/>
      <c r="Q37" s="886"/>
      <c r="R37" s="154"/>
      <c r="S37" s="130"/>
    </row>
    <row r="38" spans="1:19" ht="15.6">
      <c r="A38" s="153"/>
      <c r="B38" s="884"/>
      <c r="C38" s="349">
        <v>1</v>
      </c>
      <c r="D38" s="946" t="s">
        <v>564</v>
      </c>
      <c r="E38" s="947"/>
      <c r="F38" s="947"/>
      <c r="G38" s="947"/>
      <c r="H38" s="947"/>
      <c r="I38" s="947"/>
      <c r="J38" s="947"/>
      <c r="K38" s="947"/>
      <c r="L38" s="947"/>
      <c r="M38" s="947"/>
      <c r="N38" s="947"/>
      <c r="O38" s="948"/>
      <c r="P38" s="371" t="s">
        <v>593</v>
      </c>
      <c r="Q38" s="32">
        <f>IF($P$3="1",IF(Deductions!P11=1,IF(Deductions!Q11&lt;25000,Deductions!Q11,25000),IF(Deductions!Q11&lt;50000,Deductions!Q11,50000)),0)</f>
        <v>0</v>
      </c>
      <c r="R38" s="154"/>
      <c r="S38" s="130"/>
    </row>
    <row r="39" spans="1:19" ht="15.6">
      <c r="A39" s="153"/>
      <c r="B39" s="926"/>
      <c r="C39" s="349">
        <v>2</v>
      </c>
      <c r="D39" s="922" t="s">
        <v>565</v>
      </c>
      <c r="E39" s="923"/>
      <c r="F39" s="923"/>
      <c r="G39" s="923"/>
      <c r="H39" s="923"/>
      <c r="I39" s="923"/>
      <c r="J39" s="923"/>
      <c r="K39" s="923"/>
      <c r="L39" s="923"/>
      <c r="M39" s="923"/>
      <c r="N39" s="923"/>
      <c r="O39" s="924"/>
      <c r="P39" s="371" t="s">
        <v>593</v>
      </c>
      <c r="Q39" s="32">
        <f>IF($P$3="1",IF(Deductions!P12=1,IF(Deductions!Q12&lt;75000,Deductions!Q12,75000),IF(Deductions!Q12&lt;125000,Deductions!Q12,125000)),0)</f>
        <v>0</v>
      </c>
      <c r="R39" s="154"/>
      <c r="S39" s="130"/>
    </row>
    <row r="40" spans="1:19" ht="15.6">
      <c r="A40" s="153"/>
      <c r="B40" s="926"/>
      <c r="C40" s="349">
        <v>3</v>
      </c>
      <c r="D40" s="922" t="s">
        <v>566</v>
      </c>
      <c r="E40" s="923" t="s">
        <v>216</v>
      </c>
      <c r="F40" s="923" t="s">
        <v>216</v>
      </c>
      <c r="G40" s="923" t="s">
        <v>216</v>
      </c>
      <c r="H40" s="923" t="s">
        <v>216</v>
      </c>
      <c r="I40" s="923" t="s">
        <v>216</v>
      </c>
      <c r="J40" s="923" t="s">
        <v>216</v>
      </c>
      <c r="K40" s="923" t="s">
        <v>216</v>
      </c>
      <c r="L40" s="923" t="s">
        <v>216</v>
      </c>
      <c r="M40" s="923" t="s">
        <v>216</v>
      </c>
      <c r="N40" s="923" t="s">
        <v>216</v>
      </c>
      <c r="O40" s="924" t="s">
        <v>216</v>
      </c>
      <c r="P40" s="371" t="s">
        <v>593</v>
      </c>
      <c r="Q40" s="32">
        <f>IF($P$3="1",IF(Deductions!P13=1,IF(Deductions!Q13&lt;75000,Deductions!Q13,40000),IF(Deductions!Q13&lt;100000,Deductions!Q13,100000)),0)</f>
        <v>0</v>
      </c>
      <c r="R40" s="154"/>
      <c r="S40" s="130"/>
    </row>
    <row r="41" spans="1:19" ht="15.6">
      <c r="A41" s="153"/>
      <c r="B41" s="926"/>
      <c r="C41" s="349">
        <v>4</v>
      </c>
      <c r="D41" s="922" t="s">
        <v>567</v>
      </c>
      <c r="E41" s="923" t="s">
        <v>213</v>
      </c>
      <c r="F41" s="923" t="s">
        <v>213</v>
      </c>
      <c r="G41" s="923" t="s">
        <v>213</v>
      </c>
      <c r="H41" s="923" t="s">
        <v>213</v>
      </c>
      <c r="I41" s="923" t="s">
        <v>213</v>
      </c>
      <c r="J41" s="923" t="s">
        <v>213</v>
      </c>
      <c r="K41" s="923" t="s">
        <v>213</v>
      </c>
      <c r="L41" s="923" t="s">
        <v>213</v>
      </c>
      <c r="M41" s="923" t="s">
        <v>213</v>
      </c>
      <c r="N41" s="923" t="s">
        <v>213</v>
      </c>
      <c r="O41" s="924" t="s">
        <v>213</v>
      </c>
      <c r="P41" s="371" t="s">
        <v>593</v>
      </c>
      <c r="Q41" s="32">
        <f>IF($P$3="1",Deductions!Q14,0)</f>
        <v>0</v>
      </c>
      <c r="R41" s="154"/>
      <c r="S41" s="130"/>
    </row>
    <row r="42" spans="1:19" ht="15.6">
      <c r="A42" s="153"/>
      <c r="B42" s="926"/>
      <c r="C42" s="349">
        <v>5</v>
      </c>
      <c r="D42" s="922" t="s">
        <v>568</v>
      </c>
      <c r="E42" s="923" t="s">
        <v>214</v>
      </c>
      <c r="F42" s="923" t="s">
        <v>214</v>
      </c>
      <c r="G42" s="923" t="s">
        <v>214</v>
      </c>
      <c r="H42" s="923" t="s">
        <v>214</v>
      </c>
      <c r="I42" s="923" t="s">
        <v>214</v>
      </c>
      <c r="J42" s="923" t="s">
        <v>214</v>
      </c>
      <c r="K42" s="923" t="s">
        <v>214</v>
      </c>
      <c r="L42" s="923" t="s">
        <v>214</v>
      </c>
      <c r="M42" s="923" t="s">
        <v>214</v>
      </c>
      <c r="N42" s="923" t="s">
        <v>214</v>
      </c>
      <c r="O42" s="924" t="s">
        <v>214</v>
      </c>
      <c r="P42" s="371" t="s">
        <v>593</v>
      </c>
      <c r="Q42" s="32">
        <f>IF($P$3="1",Deductions!Q15+Salary!$W$30,0)</f>
        <v>0</v>
      </c>
      <c r="R42" s="154"/>
      <c r="S42" s="130"/>
    </row>
    <row r="43" spans="1:19" ht="15.6">
      <c r="A43" s="153"/>
      <c r="B43" s="926"/>
      <c r="C43" s="349">
        <v>6</v>
      </c>
      <c r="D43" s="922" t="s">
        <v>569</v>
      </c>
      <c r="E43" s="923" t="s">
        <v>215</v>
      </c>
      <c r="F43" s="923" t="s">
        <v>215</v>
      </c>
      <c r="G43" s="923" t="s">
        <v>215</v>
      </c>
      <c r="H43" s="923" t="s">
        <v>215</v>
      </c>
      <c r="I43" s="923" t="s">
        <v>215</v>
      </c>
      <c r="J43" s="923" t="s">
        <v>215</v>
      </c>
      <c r="K43" s="923" t="s">
        <v>215</v>
      </c>
      <c r="L43" s="923" t="s">
        <v>215</v>
      </c>
      <c r="M43" s="923" t="s">
        <v>215</v>
      </c>
      <c r="N43" s="923" t="s">
        <v>215</v>
      </c>
      <c r="O43" s="924" t="s">
        <v>215</v>
      </c>
      <c r="P43" s="371" t="s">
        <v>593</v>
      </c>
      <c r="Q43" s="32">
        <f>IF($P$3="1",IF(Deductions!P16=1,IF(Deductions!Q16&lt;75000,Deductions!Q16,75000),IF(Deductions!Q16&lt;125000,Deductions!Q16,125000)),0)</f>
        <v>0</v>
      </c>
      <c r="R43" s="154"/>
      <c r="S43" s="130"/>
    </row>
    <row r="44" spans="1:19" ht="15.6">
      <c r="A44" s="153"/>
      <c r="B44" s="926"/>
      <c r="C44" s="349">
        <v>7</v>
      </c>
      <c r="D44" s="922" t="s">
        <v>570</v>
      </c>
      <c r="E44" s="923" t="s">
        <v>217</v>
      </c>
      <c r="F44" s="923" t="s">
        <v>217</v>
      </c>
      <c r="G44" s="923" t="s">
        <v>217</v>
      </c>
      <c r="H44" s="923" t="s">
        <v>217</v>
      </c>
      <c r="I44" s="923" t="s">
        <v>217</v>
      </c>
      <c r="J44" s="923" t="s">
        <v>217</v>
      </c>
      <c r="K44" s="923" t="s">
        <v>217</v>
      </c>
      <c r="L44" s="923" t="s">
        <v>217</v>
      </c>
      <c r="M44" s="923" t="s">
        <v>217</v>
      </c>
      <c r="N44" s="923" t="s">
        <v>217</v>
      </c>
      <c r="O44" s="924" t="s">
        <v>217</v>
      </c>
      <c r="P44" s="371" t="s">
        <v>593</v>
      </c>
      <c r="Q44" s="32">
        <f>IF($P$3="1",Master!R82,0)</f>
        <v>0</v>
      </c>
      <c r="R44" s="154"/>
      <c r="S44" s="130"/>
    </row>
    <row r="45" spans="1:19" ht="15.6">
      <c r="A45" s="153"/>
      <c r="B45" s="926"/>
      <c r="C45" s="349">
        <v>8</v>
      </c>
      <c r="D45" s="922" t="s">
        <v>571</v>
      </c>
      <c r="E45" s="923" t="s">
        <v>218</v>
      </c>
      <c r="F45" s="923" t="s">
        <v>218</v>
      </c>
      <c r="G45" s="923" t="s">
        <v>218</v>
      </c>
      <c r="H45" s="923" t="s">
        <v>218</v>
      </c>
      <c r="I45" s="923" t="s">
        <v>218</v>
      </c>
      <c r="J45" s="923" t="s">
        <v>218</v>
      </c>
      <c r="K45" s="923" t="s">
        <v>218</v>
      </c>
      <c r="L45" s="923" t="s">
        <v>218</v>
      </c>
      <c r="M45" s="923" t="s">
        <v>218</v>
      </c>
      <c r="N45" s="923" t="s">
        <v>218</v>
      </c>
      <c r="O45" s="924" t="s">
        <v>218</v>
      </c>
      <c r="P45" s="371" t="s">
        <v>593</v>
      </c>
      <c r="Q45" s="32">
        <f>IF($P$3="1",Master!R83,0)</f>
        <v>0</v>
      </c>
      <c r="R45" s="154"/>
      <c r="S45" s="130"/>
    </row>
    <row r="46" spans="1:19" ht="15.6">
      <c r="A46" s="153"/>
      <c r="B46" s="926"/>
      <c r="C46" s="349">
        <v>9</v>
      </c>
      <c r="D46" s="922" t="s">
        <v>572</v>
      </c>
      <c r="E46" s="923" t="s">
        <v>219</v>
      </c>
      <c r="F46" s="923" t="s">
        <v>219</v>
      </c>
      <c r="G46" s="923" t="s">
        <v>219</v>
      </c>
      <c r="H46" s="923" t="s">
        <v>219</v>
      </c>
      <c r="I46" s="923" t="s">
        <v>219</v>
      </c>
      <c r="J46" s="923" t="s">
        <v>219</v>
      </c>
      <c r="K46" s="923" t="s">
        <v>219</v>
      </c>
      <c r="L46" s="923" t="s">
        <v>219</v>
      </c>
      <c r="M46" s="923" t="s">
        <v>219</v>
      </c>
      <c r="N46" s="923" t="s">
        <v>219</v>
      </c>
      <c r="O46" s="924" t="s">
        <v>219</v>
      </c>
      <c r="P46" s="371" t="s">
        <v>593</v>
      </c>
      <c r="Q46" s="32">
        <f>IF($P$3="1",Deductions!Q17,0)</f>
        <v>0</v>
      </c>
      <c r="R46" s="154"/>
      <c r="S46" s="130"/>
    </row>
    <row r="47" spans="1:19" ht="15.6">
      <c r="A47" s="153"/>
      <c r="B47" s="926"/>
      <c r="C47" s="349">
        <v>10</v>
      </c>
      <c r="D47" s="565" t="s">
        <v>885</v>
      </c>
      <c r="E47" s="566"/>
      <c r="F47" s="566"/>
      <c r="G47" s="566"/>
      <c r="H47" s="566"/>
      <c r="I47" s="566"/>
      <c r="J47" s="566"/>
      <c r="K47" s="566"/>
      <c r="L47" s="566"/>
      <c r="M47" s="566"/>
      <c r="N47" s="566"/>
      <c r="O47" s="567"/>
      <c r="P47" s="371" t="s">
        <v>593</v>
      </c>
      <c r="Q47" s="32">
        <f>IF($P$3="1",IF(Deductions!E22&lt;50000,Deductions!E22,50000),0)</f>
        <v>0</v>
      </c>
      <c r="R47" s="154"/>
      <c r="S47" s="130"/>
    </row>
    <row r="48" spans="1:19" ht="15.6">
      <c r="A48" s="153"/>
      <c r="B48" s="926"/>
      <c r="C48" s="349">
        <v>11</v>
      </c>
      <c r="D48" s="565" t="s">
        <v>886</v>
      </c>
      <c r="E48" s="566"/>
      <c r="F48" s="566"/>
      <c r="G48" s="566"/>
      <c r="H48" s="566"/>
      <c r="I48" s="566"/>
      <c r="J48" s="566"/>
      <c r="K48" s="566"/>
      <c r="L48" s="566"/>
      <c r="M48" s="566"/>
      <c r="N48" s="566"/>
      <c r="O48" s="567"/>
      <c r="P48" s="371" t="s">
        <v>593</v>
      </c>
      <c r="Q48" s="32">
        <f>IF($P$3="1",IF(Deductions!Q22&lt;150000,Deductions!Q22,150000),0)</f>
        <v>0</v>
      </c>
      <c r="R48" s="154"/>
      <c r="S48" s="130"/>
    </row>
    <row r="49" spans="1:20" ht="15.6">
      <c r="A49" s="153"/>
      <c r="B49" s="885"/>
      <c r="C49" s="914" t="s">
        <v>887</v>
      </c>
      <c r="D49" s="915"/>
      <c r="E49" s="915"/>
      <c r="F49" s="915"/>
      <c r="G49" s="915"/>
      <c r="H49" s="915"/>
      <c r="I49" s="915"/>
      <c r="J49" s="915"/>
      <c r="K49" s="915"/>
      <c r="L49" s="915"/>
      <c r="M49" s="915"/>
      <c r="N49" s="915"/>
      <c r="O49" s="916"/>
      <c r="P49" s="371" t="s">
        <v>593</v>
      </c>
      <c r="Q49" s="33">
        <f>SUM(Q38:Q48)</f>
        <v>0</v>
      </c>
      <c r="R49" s="154"/>
      <c r="S49" s="130"/>
    </row>
    <row r="50" spans="1:20" ht="15.6">
      <c r="A50" s="153"/>
      <c r="B50" s="372">
        <v>14</v>
      </c>
      <c r="C50" s="917" t="s">
        <v>597</v>
      </c>
      <c r="D50" s="918"/>
      <c r="E50" s="918"/>
      <c r="F50" s="918"/>
      <c r="G50" s="918"/>
      <c r="H50" s="918"/>
      <c r="I50" s="918"/>
      <c r="J50" s="918"/>
      <c r="K50" s="918"/>
      <c r="L50" s="918"/>
      <c r="M50" s="918"/>
      <c r="N50" s="918"/>
      <c r="O50" s="919"/>
      <c r="P50" s="371" t="s">
        <v>593</v>
      </c>
      <c r="Q50" s="32">
        <f>Q36+Q49</f>
        <v>150000</v>
      </c>
      <c r="R50" s="154"/>
      <c r="S50" s="130"/>
    </row>
    <row r="51" spans="1:20" ht="15.6">
      <c r="A51" s="153"/>
      <c r="B51" s="372">
        <v>15</v>
      </c>
      <c r="C51" s="949" t="s">
        <v>598</v>
      </c>
      <c r="D51" s="950"/>
      <c r="E51" s="950"/>
      <c r="F51" s="950"/>
      <c r="G51" s="950"/>
      <c r="H51" s="950"/>
      <c r="I51" s="950"/>
      <c r="J51" s="950"/>
      <c r="K51" s="950"/>
      <c r="L51" s="950"/>
      <c r="M51" s="950"/>
      <c r="N51" s="950"/>
      <c r="O51" s="951"/>
      <c r="P51" s="371" t="s">
        <v>593</v>
      </c>
      <c r="Q51" s="32">
        <f>Q20-Q50</f>
        <v>565000</v>
      </c>
      <c r="R51" s="154"/>
      <c r="S51" s="130"/>
    </row>
    <row r="52" spans="1:20" ht="15.6">
      <c r="A52" s="153"/>
      <c r="B52" s="372">
        <v>16</v>
      </c>
      <c r="C52" s="943" t="s">
        <v>573</v>
      </c>
      <c r="D52" s="944"/>
      <c r="E52" s="944"/>
      <c r="F52" s="944"/>
      <c r="G52" s="944"/>
      <c r="H52" s="944"/>
      <c r="I52" s="944"/>
      <c r="J52" s="944"/>
      <c r="K52" s="944"/>
      <c r="L52" s="944"/>
      <c r="M52" s="944"/>
      <c r="N52" s="944"/>
      <c r="O52" s="945"/>
      <c r="P52" s="371" t="s">
        <v>593</v>
      </c>
      <c r="Q52" s="31">
        <f>ROUND(Q51,-1)</f>
        <v>565000</v>
      </c>
      <c r="R52" s="154"/>
      <c r="S52" s="130"/>
      <c r="T52" s="172" t="s">
        <v>970</v>
      </c>
    </row>
    <row r="53" spans="1:20" ht="12" customHeight="1">
      <c r="A53" s="153"/>
      <c r="B53" s="856">
        <v>17</v>
      </c>
      <c r="C53" s="893" t="s">
        <v>574</v>
      </c>
      <c r="D53" s="893"/>
      <c r="E53" s="893"/>
      <c r="F53" s="893"/>
      <c r="G53" s="893"/>
      <c r="H53" s="893"/>
      <c r="I53" s="893"/>
      <c r="J53" s="893"/>
      <c r="K53" s="893"/>
      <c r="L53" s="893"/>
      <c r="M53" s="893"/>
      <c r="N53" s="893"/>
      <c r="O53" s="893"/>
      <c r="P53" s="18"/>
      <c r="Q53" s="18"/>
      <c r="R53" s="154"/>
      <c r="S53" s="130"/>
    </row>
    <row r="54" spans="1:20" ht="15.6">
      <c r="A54" s="153"/>
      <c r="B54" s="856"/>
      <c r="C54" s="892" t="s">
        <v>172</v>
      </c>
      <c r="D54" s="892"/>
      <c r="E54" s="892"/>
      <c r="F54" s="892"/>
      <c r="G54" s="892"/>
      <c r="H54" s="892"/>
      <c r="I54" s="892"/>
      <c r="J54" s="892"/>
      <c r="K54" s="892"/>
      <c r="L54" s="892"/>
      <c r="M54" s="892" t="s">
        <v>171</v>
      </c>
      <c r="N54" s="892"/>
      <c r="O54" s="892"/>
      <c r="P54" s="603" t="str">
        <f>IF($Q$54="OLD REGIME","1","2")</f>
        <v>1</v>
      </c>
      <c r="Q54" s="34" t="str">
        <f>Q2</f>
        <v>OLD REGIME</v>
      </c>
      <c r="R54" s="154"/>
      <c r="S54" s="130"/>
    </row>
    <row r="55" spans="1:20" ht="15.6">
      <c r="A55" s="153"/>
      <c r="B55" s="856"/>
      <c r="C55" s="920" t="s">
        <v>575</v>
      </c>
      <c r="D55" s="920"/>
      <c r="E55" s="920"/>
      <c r="F55" s="898" t="s">
        <v>576</v>
      </c>
      <c r="G55" s="899"/>
      <c r="H55" s="899"/>
      <c r="I55" s="900"/>
      <c r="J55" s="920" t="s">
        <v>577</v>
      </c>
      <c r="K55" s="920"/>
      <c r="L55" s="920"/>
      <c r="M55" s="896" t="s">
        <v>936</v>
      </c>
      <c r="N55" s="896"/>
      <c r="O55" s="19">
        <v>0</v>
      </c>
      <c r="P55" s="20"/>
      <c r="Q55" s="35" t="str">
        <f>IF($P$54="1","",IF($P$54="1",Master!R94,Master!S94))</f>
        <v/>
      </c>
      <c r="R55" s="154"/>
      <c r="S55" s="130"/>
    </row>
    <row r="56" spans="1:20" ht="15.6">
      <c r="A56" s="153"/>
      <c r="B56" s="856"/>
      <c r="C56" s="897" t="s">
        <v>578</v>
      </c>
      <c r="D56" s="897"/>
      <c r="E56" s="148" t="s">
        <v>81</v>
      </c>
      <c r="F56" s="927" t="s">
        <v>580</v>
      </c>
      <c r="G56" s="927"/>
      <c r="H56" s="927"/>
      <c r="I56" s="148" t="s">
        <v>81</v>
      </c>
      <c r="J56" s="895"/>
      <c r="K56" s="895"/>
      <c r="L56" s="895"/>
      <c r="M56" s="896" t="s">
        <v>971</v>
      </c>
      <c r="N56" s="896"/>
      <c r="O56" s="19">
        <v>0.05</v>
      </c>
      <c r="P56" s="371" t="s">
        <v>593</v>
      </c>
      <c r="Q56" s="35">
        <f>IF($P$54="1",Master!R95,Master!S95)</f>
        <v>0</v>
      </c>
      <c r="R56" s="154"/>
      <c r="S56" s="130"/>
    </row>
    <row r="57" spans="1:20" ht="15.6">
      <c r="A57" s="153"/>
      <c r="B57" s="856"/>
      <c r="C57" s="897" t="s">
        <v>82</v>
      </c>
      <c r="D57" s="897"/>
      <c r="E57" s="21">
        <v>0.05</v>
      </c>
      <c r="F57" s="927" t="s">
        <v>83</v>
      </c>
      <c r="G57" s="927"/>
      <c r="H57" s="927"/>
      <c r="I57" s="21">
        <v>0.05</v>
      </c>
      <c r="J57" s="901" t="s">
        <v>583</v>
      </c>
      <c r="K57" s="901"/>
      <c r="L57" s="148" t="s">
        <v>81</v>
      </c>
      <c r="M57" s="896" t="s">
        <v>972</v>
      </c>
      <c r="N57" s="896"/>
      <c r="O57" s="19">
        <v>0.1</v>
      </c>
      <c r="P57" s="371" t="s">
        <v>593</v>
      </c>
      <c r="Q57" s="631">
        <f>IF($P$54="1",Master!R96,Master!S96)</f>
        <v>12500</v>
      </c>
      <c r="R57" s="154"/>
      <c r="S57" s="130"/>
    </row>
    <row r="58" spans="1:20" ht="15.6">
      <c r="A58" s="153"/>
      <c r="B58" s="856"/>
      <c r="C58" s="897" t="s">
        <v>85</v>
      </c>
      <c r="D58" s="897"/>
      <c r="E58" s="21">
        <v>0.2</v>
      </c>
      <c r="F58" s="927" t="s">
        <v>85</v>
      </c>
      <c r="G58" s="927"/>
      <c r="H58" s="927"/>
      <c r="I58" s="21">
        <v>0.2</v>
      </c>
      <c r="J58" s="901" t="s">
        <v>85</v>
      </c>
      <c r="K58" s="901"/>
      <c r="L58" s="21">
        <v>0.2</v>
      </c>
      <c r="M58" s="896" t="s">
        <v>973</v>
      </c>
      <c r="N58" s="896"/>
      <c r="O58" s="19">
        <v>0.15</v>
      </c>
      <c r="P58" s="371" t="s">
        <v>593</v>
      </c>
      <c r="Q58" s="631">
        <f>IF($P$54="1",Master!R97,Master!S97)</f>
        <v>13000</v>
      </c>
      <c r="R58" s="154"/>
      <c r="S58" s="130"/>
    </row>
    <row r="59" spans="1:20" ht="15.6">
      <c r="A59" s="153"/>
      <c r="B59" s="856"/>
      <c r="C59" s="897" t="s">
        <v>579</v>
      </c>
      <c r="D59" s="897"/>
      <c r="E59" s="21">
        <v>0.3</v>
      </c>
      <c r="F59" s="927" t="s">
        <v>581</v>
      </c>
      <c r="G59" s="927"/>
      <c r="H59" s="927"/>
      <c r="I59" s="21">
        <v>0.3</v>
      </c>
      <c r="J59" s="927" t="s">
        <v>582</v>
      </c>
      <c r="K59" s="927"/>
      <c r="L59" s="21">
        <v>0.3</v>
      </c>
      <c r="M59" s="896" t="s">
        <v>937</v>
      </c>
      <c r="N59" s="896"/>
      <c r="O59" s="19">
        <v>0.2</v>
      </c>
      <c r="P59" s="371" t="s">
        <v>593</v>
      </c>
      <c r="Q59" s="35">
        <f>IF($P$54="1",Master!R98,Master!S98)</f>
        <v>0</v>
      </c>
      <c r="R59" s="154"/>
      <c r="S59" s="130"/>
    </row>
    <row r="60" spans="1:20" ht="15" customHeight="1">
      <c r="A60" s="153"/>
      <c r="B60" s="856"/>
      <c r="C60" s="894"/>
      <c r="D60" s="894"/>
      <c r="E60" s="894"/>
      <c r="F60" s="894"/>
      <c r="G60" s="894"/>
      <c r="H60" s="894"/>
      <c r="I60" s="894"/>
      <c r="J60" s="894"/>
      <c r="K60" s="894"/>
      <c r="L60" s="894"/>
      <c r="M60" s="896" t="s">
        <v>165</v>
      </c>
      <c r="N60" s="896"/>
      <c r="O60" s="19">
        <v>0.3</v>
      </c>
      <c r="P60" s="371" t="s">
        <v>593</v>
      </c>
      <c r="Q60" s="35" t="str">
        <f>IF($P$54="1","",IF($P$54="1",Master!R99,Master!S99))</f>
        <v/>
      </c>
      <c r="R60" s="154"/>
      <c r="S60" s="130"/>
    </row>
    <row r="61" spans="1:20" ht="12.6" customHeight="1">
      <c r="A61" s="153"/>
      <c r="B61" s="856"/>
      <c r="C61" s="894"/>
      <c r="D61" s="894"/>
      <c r="E61" s="894"/>
      <c r="F61" s="894"/>
      <c r="G61" s="894"/>
      <c r="H61" s="894"/>
      <c r="I61" s="894"/>
      <c r="J61" s="894"/>
      <c r="K61" s="894"/>
      <c r="L61" s="894"/>
      <c r="M61" s="896"/>
      <c r="N61" s="896"/>
      <c r="O61" s="19"/>
      <c r="P61" s="371" t="s">
        <v>593</v>
      </c>
      <c r="Q61" s="35" t="str">
        <f>IF($P$54="1","",IF($P$54="1",Master!R100,Master!S100))</f>
        <v/>
      </c>
      <c r="R61" s="154"/>
      <c r="S61" s="130"/>
    </row>
    <row r="62" spans="1:20" ht="15.6">
      <c r="A62" s="153"/>
      <c r="B62" s="856"/>
      <c r="C62" s="903" t="s">
        <v>584</v>
      </c>
      <c r="D62" s="903"/>
      <c r="E62" s="903"/>
      <c r="F62" s="903"/>
      <c r="G62" s="903"/>
      <c r="H62" s="903"/>
      <c r="I62" s="903"/>
      <c r="J62" s="903"/>
      <c r="K62" s="903"/>
      <c r="L62" s="903"/>
      <c r="M62" s="903"/>
      <c r="N62" s="903"/>
      <c r="O62" s="903"/>
      <c r="P62" s="371" t="s">
        <v>593</v>
      </c>
      <c r="Q62" s="31">
        <f>ROUND(SUM(Q56:Q61),0)</f>
        <v>25500</v>
      </c>
      <c r="R62" s="154"/>
      <c r="S62" s="130"/>
    </row>
    <row r="63" spans="1:20" ht="24" customHeight="1">
      <c r="A63" s="153"/>
      <c r="B63" s="856"/>
      <c r="C63" s="930" t="s">
        <v>949</v>
      </c>
      <c r="D63" s="931"/>
      <c r="E63" s="931"/>
      <c r="F63" s="931"/>
      <c r="G63" s="931"/>
      <c r="H63" s="931"/>
      <c r="I63" s="931"/>
      <c r="J63" s="931"/>
      <c r="K63" s="931"/>
      <c r="L63" s="32">
        <f>IF(P54="1",IF(Q52&gt;500000,0,IF(Q62&lt;12501,Q62,12500)),IF(P54="2",IF(Q52&gt;700000,0,IF(Q62&lt;20001,Q62,20000))))</f>
        <v>0</v>
      </c>
      <c r="M63" s="930" t="s">
        <v>963</v>
      </c>
      <c r="N63" s="931"/>
      <c r="O63" s="633">
        <f>IF(P54="2",Master!R109,0)</f>
        <v>0</v>
      </c>
      <c r="P63" s="371" t="s">
        <v>593</v>
      </c>
      <c r="Q63" s="31">
        <f>L63+O63</f>
        <v>0</v>
      </c>
      <c r="R63" s="154"/>
      <c r="S63" s="130"/>
    </row>
    <row r="64" spans="1:20" ht="15.6">
      <c r="A64" s="153"/>
      <c r="B64" s="856"/>
      <c r="C64" s="902" t="s">
        <v>585</v>
      </c>
      <c r="D64" s="902"/>
      <c r="E64" s="902"/>
      <c r="F64" s="902"/>
      <c r="G64" s="902"/>
      <c r="H64" s="902"/>
      <c r="I64" s="902"/>
      <c r="J64" s="902"/>
      <c r="K64" s="902"/>
      <c r="L64" s="902"/>
      <c r="M64" s="902"/>
      <c r="N64" s="902"/>
      <c r="O64" s="902"/>
      <c r="P64" s="371" t="s">
        <v>593</v>
      </c>
      <c r="Q64" s="31">
        <f>Q62-Q63</f>
        <v>25500</v>
      </c>
      <c r="R64" s="154"/>
      <c r="S64" s="130"/>
    </row>
    <row r="65" spans="1:20" ht="15.6">
      <c r="A65" s="153"/>
      <c r="B65" s="856"/>
      <c r="C65" s="903" t="s">
        <v>586</v>
      </c>
      <c r="D65" s="903"/>
      <c r="E65" s="903"/>
      <c r="F65" s="903"/>
      <c r="G65" s="903"/>
      <c r="H65" s="903"/>
      <c r="I65" s="903"/>
      <c r="J65" s="903"/>
      <c r="K65" s="903"/>
      <c r="L65" s="903"/>
      <c r="M65" s="903"/>
      <c r="N65" s="903"/>
      <c r="O65" s="903"/>
      <c r="P65" s="371" t="s">
        <v>593</v>
      </c>
      <c r="Q65" s="32">
        <f>ROUND(Q64*0.04,0)</f>
        <v>1020</v>
      </c>
      <c r="R65" s="154"/>
      <c r="S65" s="130"/>
    </row>
    <row r="66" spans="1:20" ht="15.6">
      <c r="A66" s="153"/>
      <c r="B66" s="856"/>
      <c r="C66" s="921" t="s">
        <v>587</v>
      </c>
      <c r="D66" s="921"/>
      <c r="E66" s="921"/>
      <c r="F66" s="921"/>
      <c r="G66" s="921"/>
      <c r="H66" s="921"/>
      <c r="I66" s="921"/>
      <c r="J66" s="921"/>
      <c r="K66" s="921"/>
      <c r="L66" s="921"/>
      <c r="M66" s="921"/>
      <c r="N66" s="921"/>
      <c r="O66" s="921"/>
      <c r="P66" s="371" t="s">
        <v>593</v>
      </c>
      <c r="Q66" s="31">
        <f>SUM(Q64:Q65)</f>
        <v>26520</v>
      </c>
      <c r="R66" s="154"/>
      <c r="S66" s="130"/>
    </row>
    <row r="67" spans="1:20" ht="15.6">
      <c r="A67" s="153"/>
      <c r="B67" s="372">
        <v>18</v>
      </c>
      <c r="C67" s="849" t="s">
        <v>588</v>
      </c>
      <c r="D67" s="850"/>
      <c r="E67" s="850"/>
      <c r="F67" s="850"/>
      <c r="G67" s="850"/>
      <c r="H67" s="850"/>
      <c r="I67" s="850"/>
      <c r="J67" s="850"/>
      <c r="K67" s="850"/>
      <c r="L67" s="850"/>
      <c r="M67" s="850"/>
      <c r="N67" s="850"/>
      <c r="O67" s="851"/>
      <c r="P67" s="371" t="s">
        <v>593</v>
      </c>
      <c r="Q67" s="32">
        <f>IF(Q66&gt;=Deductions!Q20,IF(Deductions!Q20="",0,Deductions!Q20),0)</f>
        <v>0</v>
      </c>
      <c r="R67" s="154"/>
      <c r="S67" s="130"/>
    </row>
    <row r="68" spans="1:20" ht="15.6">
      <c r="A68" s="153"/>
      <c r="B68" s="372">
        <v>19</v>
      </c>
      <c r="C68" s="849" t="s">
        <v>589</v>
      </c>
      <c r="D68" s="850"/>
      <c r="E68" s="850"/>
      <c r="F68" s="850"/>
      <c r="G68" s="850"/>
      <c r="H68" s="850"/>
      <c r="I68" s="850"/>
      <c r="J68" s="850"/>
      <c r="K68" s="850"/>
      <c r="L68" s="850"/>
      <c r="M68" s="850"/>
      <c r="N68" s="850"/>
      <c r="O68" s="851"/>
      <c r="P68" s="371" t="s">
        <v>593</v>
      </c>
      <c r="Q68" s="31">
        <f>Q66-Q67</f>
        <v>26520</v>
      </c>
      <c r="R68" s="154"/>
      <c r="S68" s="130"/>
    </row>
    <row r="69" spans="1:20" ht="39.6" customHeight="1">
      <c r="A69" s="153"/>
      <c r="B69" s="856">
        <v>20</v>
      </c>
      <c r="C69" s="910" t="s">
        <v>590</v>
      </c>
      <c r="D69" s="910"/>
      <c r="E69" s="910"/>
      <c r="F69" s="910" t="s">
        <v>979</v>
      </c>
      <c r="G69" s="910"/>
      <c r="H69" s="910"/>
      <c r="I69" s="910"/>
      <c r="J69" s="910" t="s">
        <v>980</v>
      </c>
      <c r="K69" s="910"/>
      <c r="L69" s="604" t="s">
        <v>981</v>
      </c>
      <c r="M69" s="910" t="s">
        <v>982</v>
      </c>
      <c r="N69" s="910"/>
      <c r="O69" s="594" t="s">
        <v>931</v>
      </c>
      <c r="P69" s="910" t="s">
        <v>591</v>
      </c>
      <c r="Q69" s="910"/>
      <c r="R69" s="154"/>
      <c r="S69" s="130"/>
    </row>
    <row r="70" spans="1:20" ht="15.6">
      <c r="A70" s="153"/>
      <c r="B70" s="856"/>
      <c r="C70" s="910"/>
      <c r="D70" s="910"/>
      <c r="E70" s="910"/>
      <c r="F70" s="911">
        <f>SUM(Salary!X10:X16)</f>
        <v>101000</v>
      </c>
      <c r="G70" s="911"/>
      <c r="H70" s="911"/>
      <c r="I70" s="911"/>
      <c r="J70" s="911">
        <f>SUM(Salary!X17:X19)</f>
        <v>88000</v>
      </c>
      <c r="K70" s="911"/>
      <c r="L70" s="595">
        <f>SUM(Salary!X20)</f>
        <v>35000</v>
      </c>
      <c r="M70" s="911">
        <f>SUM(Salary!X21)</f>
        <v>30000</v>
      </c>
      <c r="N70" s="911"/>
      <c r="O70" s="596">
        <f>SUM(Salary!$X$22:$X$29,Deductions!Q21)</f>
        <v>9447</v>
      </c>
      <c r="P70" s="912">
        <f>SUM(F70,J70,L70,M70,O70)</f>
        <v>263447</v>
      </c>
      <c r="Q70" s="912"/>
      <c r="R70" s="154"/>
      <c r="S70" s="130"/>
    </row>
    <row r="71" spans="1:20" ht="15.6" customHeight="1">
      <c r="A71" s="153"/>
      <c r="B71" s="913" t="str">
        <f>IF($Q$68&gt;$P$70,"Income Tax Payable (Rounded off)",IF($Q$68&lt;$P$70,"Income Tax Refundable (Rounded off)","Income Tax Payble/Refundable"))</f>
        <v>Income Tax Refundable (Rounded off)</v>
      </c>
      <c r="C71" s="913"/>
      <c r="D71" s="913"/>
      <c r="E71" s="913"/>
      <c r="F71" s="913"/>
      <c r="G71" s="913"/>
      <c r="H71" s="913"/>
      <c r="I71" s="913"/>
      <c r="J71" s="913"/>
      <c r="K71" s="913"/>
      <c r="L71" s="913"/>
      <c r="M71" s="913"/>
      <c r="N71" s="913"/>
      <c r="O71" s="913"/>
      <c r="P71" s="912">
        <f>IF($Q$68&gt;$P$70,ROUND($Q$68-$P$70,-1),ROUND($P$70-$Q$68,-1))</f>
        <v>236930</v>
      </c>
      <c r="Q71" s="912"/>
      <c r="R71" s="154"/>
      <c r="S71" s="130"/>
      <c r="T71" s="172" t="s">
        <v>969</v>
      </c>
    </row>
    <row r="72" spans="1:20" ht="17.100000000000001" customHeight="1">
      <c r="A72" s="153"/>
      <c r="B72" s="22"/>
      <c r="C72" s="907" t="s">
        <v>592</v>
      </c>
      <c r="D72" s="908"/>
      <c r="E72" s="908"/>
      <c r="F72" s="909"/>
      <c r="G72" s="904"/>
      <c r="H72" s="905"/>
      <c r="I72" s="905"/>
      <c r="J72" s="905"/>
      <c r="K72" s="905"/>
      <c r="L72" s="905"/>
      <c r="M72" s="905"/>
      <c r="N72" s="905"/>
      <c r="O72" s="905"/>
      <c r="P72" s="905"/>
      <c r="Q72" s="906"/>
      <c r="R72" s="154"/>
      <c r="S72" s="130"/>
    </row>
    <row r="73" spans="1:20" ht="15" thickBot="1">
      <c r="A73" s="157"/>
      <c r="B73" s="158"/>
      <c r="C73" s="158"/>
      <c r="D73" s="158"/>
      <c r="E73" s="158"/>
      <c r="F73" s="158"/>
      <c r="G73" s="158"/>
      <c r="H73" s="158"/>
      <c r="I73" s="158"/>
      <c r="J73" s="158"/>
      <c r="K73" s="158"/>
      <c r="L73" s="158"/>
      <c r="M73" s="158"/>
      <c r="N73" s="533"/>
      <c r="O73" s="534" t="s">
        <v>654</v>
      </c>
      <c r="P73" s="158"/>
      <c r="Q73" s="158"/>
      <c r="R73" s="159"/>
      <c r="S73" s="130"/>
    </row>
    <row r="74" spans="1:20">
      <c r="A74" s="130"/>
      <c r="B74" s="1442" t="s">
        <v>1015</v>
      </c>
      <c r="C74" s="1442"/>
      <c r="D74" s="1442"/>
      <c r="E74" s="1442"/>
      <c r="F74" s="1442"/>
      <c r="G74" s="1442"/>
      <c r="H74" s="1442"/>
      <c r="I74" s="1442"/>
      <c r="J74" s="1442"/>
      <c r="K74" s="1442"/>
      <c r="L74" s="1442"/>
      <c r="M74" s="1442"/>
      <c r="N74" s="1442"/>
      <c r="O74" s="1442"/>
      <c r="P74" s="1442"/>
      <c r="Q74" s="1442"/>
    </row>
    <row r="75" spans="1:20" hidden="1">
      <c r="A75" s="130"/>
    </row>
    <row r="76" spans="1:20" hidden="1">
      <c r="A76" s="130"/>
    </row>
    <row r="77" spans="1:20" hidden="1">
      <c r="A77" s="130"/>
    </row>
    <row r="78" spans="1:20" hidden="1">
      <c r="A78" s="130"/>
    </row>
    <row r="79" spans="1:20" hidden="1">
      <c r="A79" s="130"/>
    </row>
    <row r="80" spans="1:20" hidden="1">
      <c r="A80" s="27"/>
    </row>
    <row r="81" spans="1:1" hidden="1">
      <c r="A81" s="27"/>
    </row>
    <row r="82" spans="1:1" hidden="1">
      <c r="A82" s="27"/>
    </row>
    <row r="83" spans="1:1" hidden="1">
      <c r="A83" s="27"/>
    </row>
    <row r="84" spans="1:1" hidden="1">
      <c r="A84" s="27"/>
    </row>
    <row r="85" spans="1:1" hidden="1">
      <c r="A85" s="27"/>
    </row>
    <row r="86" spans="1:1" hidden="1">
      <c r="A86" s="27"/>
    </row>
    <row r="87" spans="1:1" hidden="1">
      <c r="A87" s="27"/>
    </row>
    <row r="88" spans="1:1" hidden="1">
      <c r="A88" s="27"/>
    </row>
    <row r="89" spans="1:1" hidden="1">
      <c r="A89" s="27"/>
    </row>
    <row r="90" spans="1:1" hidden="1">
      <c r="A90" s="27"/>
    </row>
    <row r="91" spans="1:1" hidden="1">
      <c r="A91" s="27"/>
    </row>
    <row r="92" spans="1:1" hidden="1">
      <c r="A92" s="27"/>
    </row>
    <row r="93" spans="1:1" hidden="1">
      <c r="A93" s="27"/>
    </row>
    <row r="97" customFormat="1" hidden="1"/>
    <row r="98" customFormat="1" hidden="1"/>
    <row r="99" customFormat="1" hidden="1"/>
  </sheetData>
  <sheetProtection algorithmName="SHA-512" hashValue="0nH3m+o8A/l6xvI6dsl+1+orMCvpTlzARBGlxtbSmBY6sOzJs+Y5cJiaJ+3XwxGb6dAA9D4e8FGQAcG9KTCYZQ==" saltValue="2brSbTElJ6iTCbulsbXFXQ==" spinCount="100000" sheet="1" formatCells="0" formatColumns="0" formatRows="0" selectLockedCells="1"/>
  <customSheetViews>
    <customSheetView guid="{1E5138D0-1BD0-4D7E-A5B4-E19521ADA196}" fitToPage="1" topLeftCell="A7">
      <selection activeCell="T19" sqref="T19"/>
      <pageMargins left="0.23622047244094491" right="0.23622047244094491" top="0.74803149606299213" bottom="0.74803149606299213" header="0.31496062992125984" footer="0.31496062992125984"/>
      <printOptions horizontalCentered="1" verticalCentered="1"/>
      <pageSetup paperSize="9" scale="67" orientation="portrait" r:id="rId1"/>
    </customSheetView>
  </customSheetViews>
  <mergeCells count="145">
    <mergeCell ref="B74:Q74"/>
    <mergeCell ref="T5:V6"/>
    <mergeCell ref="P71:Q71"/>
    <mergeCell ref="T2:U3"/>
    <mergeCell ref="C52:O52"/>
    <mergeCell ref="D38:O38"/>
    <mergeCell ref="D46:O46"/>
    <mergeCell ref="M69:N69"/>
    <mergeCell ref="C67:O67"/>
    <mergeCell ref="F57:H57"/>
    <mergeCell ref="F58:H58"/>
    <mergeCell ref="D39:O39"/>
    <mergeCell ref="D40:O40"/>
    <mergeCell ref="D43:O43"/>
    <mergeCell ref="D44:O44"/>
    <mergeCell ref="D45:O45"/>
    <mergeCell ref="C55:E55"/>
    <mergeCell ref="F56:H56"/>
    <mergeCell ref="C62:O62"/>
    <mergeCell ref="C51:O51"/>
    <mergeCell ref="C68:O68"/>
    <mergeCell ref="C12:O12"/>
    <mergeCell ref="C10:L10"/>
    <mergeCell ref="D27:G27"/>
    <mergeCell ref="C20:O20"/>
    <mergeCell ref="B38:B49"/>
    <mergeCell ref="J59:K59"/>
    <mergeCell ref="K24:M24"/>
    <mergeCell ref="C21:O21"/>
    <mergeCell ref="F59:H59"/>
    <mergeCell ref="K27:M27"/>
    <mergeCell ref="D23:G23"/>
    <mergeCell ref="B21:B36"/>
    <mergeCell ref="C33:O33"/>
    <mergeCell ref="C34:O34"/>
    <mergeCell ref="C35:O35"/>
    <mergeCell ref="D31:G31"/>
    <mergeCell ref="K31:M31"/>
    <mergeCell ref="C32:M32"/>
    <mergeCell ref="B53:B66"/>
    <mergeCell ref="C57:D57"/>
    <mergeCell ref="C63:K63"/>
    <mergeCell ref="M63:N63"/>
    <mergeCell ref="K23:M23"/>
    <mergeCell ref="G72:Q72"/>
    <mergeCell ref="C72:F72"/>
    <mergeCell ref="D28:G28"/>
    <mergeCell ref="K28:M28"/>
    <mergeCell ref="D25:G25"/>
    <mergeCell ref="K25:M25"/>
    <mergeCell ref="P69:Q69"/>
    <mergeCell ref="F70:I70"/>
    <mergeCell ref="J70:K70"/>
    <mergeCell ref="M70:N70"/>
    <mergeCell ref="P70:Q70"/>
    <mergeCell ref="B71:O71"/>
    <mergeCell ref="F69:I69"/>
    <mergeCell ref="J69:K69"/>
    <mergeCell ref="C37:Q37"/>
    <mergeCell ref="C49:O49"/>
    <mergeCell ref="C50:O50"/>
    <mergeCell ref="J55:L55"/>
    <mergeCell ref="M61:N61"/>
    <mergeCell ref="C66:O66"/>
    <mergeCell ref="D42:O42"/>
    <mergeCell ref="C36:O36"/>
    <mergeCell ref="D41:O41"/>
    <mergeCell ref="C69:E70"/>
    <mergeCell ref="B69:B70"/>
    <mergeCell ref="M54:O54"/>
    <mergeCell ref="C53:O53"/>
    <mergeCell ref="C60:L61"/>
    <mergeCell ref="J56:L56"/>
    <mergeCell ref="M55:N55"/>
    <mergeCell ref="M56:N56"/>
    <mergeCell ref="M57:N57"/>
    <mergeCell ref="M58:N58"/>
    <mergeCell ref="M59:N59"/>
    <mergeCell ref="M60:N60"/>
    <mergeCell ref="C58:D58"/>
    <mergeCell ref="F55:I55"/>
    <mergeCell ref="J57:K57"/>
    <mergeCell ref="J58:K58"/>
    <mergeCell ref="C59:D59"/>
    <mergeCell ref="C56:D56"/>
    <mergeCell ref="C54:L54"/>
    <mergeCell ref="C64:O64"/>
    <mergeCell ref="C65:O65"/>
    <mergeCell ref="A1:R1"/>
    <mergeCell ref="T16:V17"/>
    <mergeCell ref="T14:T15"/>
    <mergeCell ref="U14:V15"/>
    <mergeCell ref="Q2:Q3"/>
    <mergeCell ref="B2:P2"/>
    <mergeCell ref="T12:T13"/>
    <mergeCell ref="M13:O13"/>
    <mergeCell ref="P4:Q4"/>
    <mergeCell ref="P13:Q15"/>
    <mergeCell ref="P9:Q10"/>
    <mergeCell ref="M15:O15"/>
    <mergeCell ref="B13:B15"/>
    <mergeCell ref="C13:J13"/>
    <mergeCell ref="K13:L13"/>
    <mergeCell ref="B9:B11"/>
    <mergeCell ref="B3:O3"/>
    <mergeCell ref="E14:G14"/>
    <mergeCell ref="Q5:Q6"/>
    <mergeCell ref="P5:P6"/>
    <mergeCell ref="B5:B6"/>
    <mergeCell ref="C4:D4"/>
    <mergeCell ref="E4:J4"/>
    <mergeCell ref="N5:O5"/>
    <mergeCell ref="C16:O16"/>
    <mergeCell ref="C17:O17"/>
    <mergeCell ref="C22:Q22"/>
    <mergeCell ref="P23:Q32"/>
    <mergeCell ref="D24:G24"/>
    <mergeCell ref="C9:L9"/>
    <mergeCell ref="M9:O9"/>
    <mergeCell ref="M11:O11"/>
    <mergeCell ref="M14:O14"/>
    <mergeCell ref="C19:O19"/>
    <mergeCell ref="D30:G30"/>
    <mergeCell ref="K30:M30"/>
    <mergeCell ref="D29:G29"/>
    <mergeCell ref="K29:M29"/>
    <mergeCell ref="H14:J14"/>
    <mergeCell ref="K14:L14"/>
    <mergeCell ref="D26:G26"/>
    <mergeCell ref="C18:O18"/>
    <mergeCell ref="M10:O10"/>
    <mergeCell ref="C11:L11"/>
    <mergeCell ref="P21:Q21"/>
    <mergeCell ref="K26:M26"/>
    <mergeCell ref="L4:N4"/>
    <mergeCell ref="E15:G15"/>
    <mergeCell ref="H15:J15"/>
    <mergeCell ref="K15:L15"/>
    <mergeCell ref="C14:D15"/>
    <mergeCell ref="D6:G6"/>
    <mergeCell ref="H6:I6"/>
    <mergeCell ref="J6:M6"/>
    <mergeCell ref="N6:O6"/>
    <mergeCell ref="C7:O7"/>
    <mergeCell ref="C8:O8"/>
  </mergeCells>
  <printOptions horizontalCentered="1" verticalCentered="1"/>
  <pageMargins left="3.937007874015748E-2" right="3.937007874015748E-2" top="0.35433070866141736" bottom="0.35433070866141736" header="0.31496062992125984" footer="0.31496062992125984"/>
  <pageSetup paperSize="9" scale="66"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4098" r:id="rId5" name="Group Box 2">
              <controlPr defaultSize="0" autoFill="0" autoPict="0">
                <anchor moveWithCells="1">
                  <from>
                    <xdr:col>19</xdr:col>
                    <xdr:colOff>121920</xdr:colOff>
                    <xdr:row>1</xdr:row>
                    <xdr:rowOff>83820</xdr:rowOff>
                  </from>
                  <to>
                    <xdr:col>21</xdr:col>
                    <xdr:colOff>0</xdr:colOff>
                    <xdr:row>2</xdr:row>
                    <xdr:rowOff>175260</xdr:rowOff>
                  </to>
                </anchor>
              </controlPr>
            </control>
          </mc:Choice>
        </mc:AlternateContent>
        <mc:AlternateContent xmlns:mc="http://schemas.openxmlformats.org/markup-compatibility/2006">
          <mc:Choice Requires="x14">
            <control shapeId="4108" r:id="rId6" name="Option Button 12">
              <controlPr defaultSize="0" autoFill="0" autoLine="0" autoPict="0">
                <anchor moveWithCells="1">
                  <from>
                    <xdr:col>19</xdr:col>
                    <xdr:colOff>213360</xdr:colOff>
                    <xdr:row>1</xdr:row>
                    <xdr:rowOff>220980</xdr:rowOff>
                  </from>
                  <to>
                    <xdr:col>20</xdr:col>
                    <xdr:colOff>220980</xdr:colOff>
                    <xdr:row>2</xdr:row>
                    <xdr:rowOff>137160</xdr:rowOff>
                  </to>
                </anchor>
              </controlPr>
            </control>
          </mc:Choice>
        </mc:AlternateContent>
        <mc:AlternateContent xmlns:mc="http://schemas.openxmlformats.org/markup-compatibility/2006">
          <mc:Choice Requires="x14">
            <control shapeId="4109" r:id="rId7" name="Option Button 13">
              <controlPr defaultSize="0" autoFill="0" autoLine="0" autoPict="0">
                <anchor moveWithCells="1">
                  <from>
                    <xdr:col>20</xdr:col>
                    <xdr:colOff>190500</xdr:colOff>
                    <xdr:row>1</xdr:row>
                    <xdr:rowOff>220980</xdr:rowOff>
                  </from>
                  <to>
                    <xdr:col>21</xdr:col>
                    <xdr:colOff>0</xdr:colOff>
                    <xdr:row>2</xdr:row>
                    <xdr:rowOff>160020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
  <sheetViews>
    <sheetView workbookViewId="0">
      <selection activeCell="H18" sqref="H18"/>
    </sheetView>
  </sheetViews>
  <sheetFormatPr defaultRowHeight="14.4"/>
  <cols>
    <col min="6" max="6" width="20.88671875" bestFit="1" customWidth="1"/>
    <col min="7" max="7" width="15.88671875" customWidth="1"/>
    <col min="9" max="10" width="14.5546875" customWidth="1"/>
    <col min="11" max="11" width="18.109375" customWidth="1"/>
    <col min="12" max="12" width="12.6640625" bestFit="1"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BE112"/>
  <sheetViews>
    <sheetView zoomScale="90" zoomScaleNormal="90" workbookViewId="0">
      <selection activeCell="N24" sqref="N24"/>
    </sheetView>
  </sheetViews>
  <sheetFormatPr defaultColWidth="8.77734375" defaultRowHeight="14.4"/>
  <cols>
    <col min="1" max="1" width="4.77734375" style="24" customWidth="1"/>
    <col min="2" max="2" width="10.21875" style="24" customWidth="1"/>
    <col min="3" max="6" width="8.77734375" style="24"/>
    <col min="7" max="7" width="6.77734375" style="24" customWidth="1"/>
    <col min="8" max="8" width="11.21875" style="24" customWidth="1"/>
    <col min="9" max="9" width="10.21875" style="24" customWidth="1"/>
    <col min="10" max="10" width="12" style="24" customWidth="1"/>
    <col min="11" max="11" width="8.77734375" style="24"/>
    <col min="12" max="12" width="8.77734375" style="24" customWidth="1"/>
    <col min="13" max="13" width="8.77734375" style="24"/>
    <col min="14" max="14" width="12.5546875" style="24" customWidth="1"/>
    <col min="15" max="15" width="7" style="24" customWidth="1"/>
    <col min="16" max="16" width="12.44140625" style="24" customWidth="1"/>
    <col min="17" max="17" width="9.77734375" style="24" customWidth="1"/>
    <col min="18" max="18" width="13.21875" style="24" customWidth="1"/>
    <col min="19" max="21" width="14.77734375" style="24" customWidth="1"/>
    <col min="22" max="22" width="13.44140625" style="24" bestFit="1" customWidth="1"/>
    <col min="23" max="23" width="11.21875" style="24" bestFit="1" customWidth="1"/>
    <col min="24" max="24" width="8.77734375" style="24"/>
    <col min="25" max="25" width="12.44140625" style="24" customWidth="1"/>
    <col min="26" max="35" width="8.77734375" style="24"/>
    <col min="36" max="36" width="12.44140625" style="24" customWidth="1"/>
    <col min="37" max="16384" width="8.77734375" style="24"/>
  </cols>
  <sheetData>
    <row r="1" spans="1:42" ht="29.55" customHeight="1" thickBot="1">
      <c r="A1" s="1039" t="s">
        <v>179</v>
      </c>
      <c r="B1" s="1040"/>
      <c r="C1" s="1040"/>
      <c r="D1" s="1040"/>
      <c r="E1" s="1040"/>
      <c r="F1" s="1040"/>
      <c r="G1" s="1040"/>
      <c r="H1" s="1040"/>
      <c r="I1" s="1040"/>
      <c r="J1" s="1040"/>
      <c r="K1" s="1040"/>
      <c r="L1" s="1040"/>
      <c r="M1" s="1040"/>
      <c r="N1" s="1040"/>
      <c r="O1" s="1040"/>
      <c r="P1" s="1040"/>
      <c r="Q1" s="1040"/>
      <c r="R1" s="1040"/>
      <c r="S1" s="1041"/>
      <c r="T1" s="181"/>
      <c r="U1" s="181"/>
    </row>
    <row r="2" spans="1:42" ht="26.1" customHeight="1" thickTop="1" thickBot="1">
      <c r="A2" s="953" t="s">
        <v>917</v>
      </c>
      <c r="B2" s="954"/>
      <c r="C2" s="182" t="str">
        <f>'Gen Info'!C13</f>
        <v>No</v>
      </c>
      <c r="D2" s="182" t="str">
        <f>'Gen Info'!F13</f>
        <v>NO</v>
      </c>
      <c r="E2" s="182" t="s">
        <v>470</v>
      </c>
      <c r="F2" s="182"/>
      <c r="G2" s="182" t="str">
        <f>Salary!N6</f>
        <v>Regular</v>
      </c>
      <c r="I2" s="183">
        <f>'Gen Info'!F8</f>
        <v>0</v>
      </c>
      <c r="J2" s="182" t="str">
        <f>'Gen Info'!C12</f>
        <v>No</v>
      </c>
      <c r="K2" s="188" t="s">
        <v>100</v>
      </c>
      <c r="L2" s="184" t="s">
        <v>97</v>
      </c>
      <c r="M2" s="185" t="str">
        <f>'Pay &amp; Allowances'!L9</f>
        <v>No</v>
      </c>
      <c r="N2" s="184" t="s">
        <v>98</v>
      </c>
      <c r="O2" s="185">
        <f>'Pay &amp; Allowances'!N9</f>
        <v>12</v>
      </c>
      <c r="P2" s="1042" t="s">
        <v>475</v>
      </c>
      <c r="Q2" s="1042"/>
      <c r="R2" s="1043" t="b">
        <v>0</v>
      </c>
      <c r="S2" s="387" t="s">
        <v>602</v>
      </c>
      <c r="T2" s="186">
        <f>IFERROR(IF(OR(E3="All India Services",E3="State Service"),500,250),0)</f>
        <v>500</v>
      </c>
      <c r="U2" s="339" t="s">
        <v>636</v>
      </c>
      <c r="V2" s="1017"/>
      <c r="W2" s="1017"/>
      <c r="X2" s="1017"/>
      <c r="Y2" s="1017"/>
      <c r="Z2" s="1017"/>
      <c r="AA2" s="1018" t="s">
        <v>615</v>
      </c>
      <c r="AB2" s="1018"/>
      <c r="AC2" s="1018"/>
      <c r="AD2" s="1018"/>
      <c r="AE2" s="1018"/>
      <c r="AH2" s="1086" t="s">
        <v>616</v>
      </c>
    </row>
    <row r="3" spans="1:42" ht="23.1" customHeight="1" thickTop="1" thickBot="1">
      <c r="A3" s="182"/>
      <c r="B3" s="182" t="str">
        <f>'Gen Info'!C5</f>
        <v>HANS RAJ JOSHI</v>
      </c>
      <c r="C3" s="182"/>
      <c r="D3" s="182" t="str">
        <f>'Gen Info'!C6</f>
        <v>Principal</v>
      </c>
      <c r="E3" s="182" t="str">
        <f>'Gen Info'!C7</f>
        <v>State Service</v>
      </c>
      <c r="F3" s="182"/>
      <c r="G3" s="182" t="str">
        <f>'Gen Info'!F7</f>
        <v>L-16</v>
      </c>
      <c r="H3" s="182" t="str">
        <f>'Gen Info'!F5</f>
        <v>RJGA999999999999</v>
      </c>
      <c r="I3" s="187" t="str">
        <f>'Gen Info'!C9</f>
        <v>XXXXX1234X</v>
      </c>
      <c r="J3" s="182"/>
      <c r="K3" s="597" t="str">
        <f>HRA!K4</f>
        <v xml:space="preserve">NO </v>
      </c>
      <c r="L3" s="189">
        <f>IF(M2="No",0,ROUND((6774*O2/12),0))</f>
        <v>0</v>
      </c>
      <c r="M3" s="189">
        <f>ROUND(L3*25%,0)</f>
        <v>0</v>
      </c>
      <c r="N3" s="189">
        <f>L3-M3</f>
        <v>0</v>
      </c>
      <c r="O3" s="190"/>
      <c r="P3" s="1042"/>
      <c r="Q3" s="1042"/>
      <c r="R3" s="1043"/>
      <c r="S3" s="191" t="s">
        <v>632</v>
      </c>
      <c r="T3" s="186">
        <f>Deductions!Q7</f>
        <v>469</v>
      </c>
      <c r="U3" s="340" t="s">
        <v>637</v>
      </c>
      <c r="V3" s="1019"/>
      <c r="W3" s="1019"/>
      <c r="X3" s="1020"/>
      <c r="Y3" s="1021" t="s">
        <v>452</v>
      </c>
      <c r="Z3" s="1022"/>
      <c r="AA3" s="1023" t="s">
        <v>147</v>
      </c>
      <c r="AB3" s="1024"/>
      <c r="AC3" s="192">
        <v>43556</v>
      </c>
      <c r="AD3" s="192">
        <v>43922</v>
      </c>
      <c r="AE3" s="193" t="s">
        <v>454</v>
      </c>
      <c r="AF3" s="24" t="s">
        <v>178</v>
      </c>
      <c r="AH3" s="1086"/>
      <c r="AI3" s="24" t="str">
        <f>CONCATENATE('Gen Info'!$E$6&amp;" OF THE "&amp;'Gen Info'!$F$11&amp;" "&amp;'Gen Info'!$F$12)</f>
        <v>OFFICE OF THE  GOVT SENIOR SECONDARY SCHOOL RAJPURA PIPERAN,SRI GANGANAGAR</v>
      </c>
    </row>
    <row r="4" spans="1:42" ht="15.6" thickTop="1" thickBot="1">
      <c r="A4" s="194"/>
      <c r="B4" s="194">
        <f>AH10</f>
        <v>0</v>
      </c>
      <c r="C4" s="195"/>
      <c r="D4" s="195"/>
      <c r="E4" s="196" t="s">
        <v>103</v>
      </c>
      <c r="F4" s="197"/>
      <c r="G4" s="198" t="s">
        <v>96</v>
      </c>
      <c r="H4" s="199" t="s">
        <v>477</v>
      </c>
      <c r="I4" s="200" t="s">
        <v>101</v>
      </c>
      <c r="J4" s="200"/>
      <c r="K4" s="201" t="s">
        <v>4</v>
      </c>
      <c r="L4" s="955" t="s">
        <v>975</v>
      </c>
      <c r="M4" s="956"/>
      <c r="N4" s="601" t="s">
        <v>916</v>
      </c>
      <c r="O4" s="602">
        <f>IF(AND(C2="YES",D2="YES"),ROUND(M6*20%,0),0)</f>
        <v>0</v>
      </c>
      <c r="P4" s="202"/>
      <c r="Q4" s="202"/>
      <c r="R4" s="203"/>
      <c r="S4" s="204"/>
      <c r="T4" s="204"/>
      <c r="U4" s="517">
        <f>SUM('Pay &amp; Allowances'!H12,'Pay &amp; Allowances'!I12)</f>
        <v>0</v>
      </c>
      <c r="V4" s="338"/>
      <c r="W4" s="205">
        <v>43009</v>
      </c>
      <c r="X4" s="206">
        <v>43160</v>
      </c>
      <c r="Y4" s="207">
        <f>IF(Salary!$D$11&lt;23001,1450,IF(Salary!$D$11&lt;28001,1625,IF(Salary!$D$11&lt;38501,2100,IF(Salary!$D$11&lt;51501,2850,IF(Salary!$D$11&lt;62001,3575,IF(Salary!$D$11&lt;72001,4200,IF(Salary!$D$11&lt;80001,4800)))))))</f>
        <v>1450</v>
      </c>
      <c r="Z4" s="208">
        <f>IF(Salary!$D$11&lt;116001,6150,IF(Salary!$D$11&lt;167001,8900,10500))</f>
        <v>6150</v>
      </c>
      <c r="AA4" s="1015" t="s">
        <v>154</v>
      </c>
      <c r="AB4" s="1016"/>
      <c r="AC4" s="209">
        <v>242</v>
      </c>
      <c r="AD4" s="209">
        <v>265</v>
      </c>
      <c r="AE4" s="210" t="str">
        <f>IF($G$2="OPS",IF(Salary!$AD$6&lt;18001,265,IF(Salary!$AD$6&lt;33501,440,IF(Salary!$AD$6&lt;54001,658,875))),"")</f>
        <v/>
      </c>
      <c r="AF4" s="24">
        <f>AD4-AC4</f>
        <v>23</v>
      </c>
      <c r="AH4" s="397">
        <v>135</v>
      </c>
      <c r="AI4" s="24" t="s">
        <v>977</v>
      </c>
    </row>
    <row r="5" spans="1:42" ht="14.55" customHeight="1" thickTop="1" thickBot="1">
      <c r="A5" s="194"/>
      <c r="B5" s="194"/>
      <c r="C5" s="1026" t="s">
        <v>102</v>
      </c>
      <c r="D5" s="1025" t="s">
        <v>121</v>
      </c>
      <c r="E5" s="211" t="str">
        <f>'Pay &amp; Allowances'!C9</f>
        <v>Yes</v>
      </c>
      <c r="F5" s="191"/>
      <c r="G5" s="198" t="str">
        <f>'Pay &amp; Allowances'!C12</f>
        <v xml:space="preserve">No </v>
      </c>
      <c r="H5" s="212">
        <f>G7</f>
        <v>0</v>
      </c>
      <c r="I5" s="213"/>
      <c r="J5" s="214"/>
      <c r="K5" s="214"/>
      <c r="L5" s="215" t="s">
        <v>451</v>
      </c>
      <c r="M5" s="215" t="s">
        <v>461</v>
      </c>
      <c r="N5" s="215" t="s">
        <v>462</v>
      </c>
      <c r="O5" s="215" t="s">
        <v>460</v>
      </c>
      <c r="P5" s="1044" t="s">
        <v>471</v>
      </c>
      <c r="Q5" s="1044"/>
      <c r="R5" s="1044"/>
      <c r="S5" s="216"/>
      <c r="T5" s="216"/>
      <c r="U5" s="341"/>
      <c r="V5" s="336"/>
      <c r="W5" s="217">
        <v>500</v>
      </c>
      <c r="X5" s="218">
        <v>1450</v>
      </c>
      <c r="AA5" s="1015" t="s">
        <v>155</v>
      </c>
      <c r="AB5" s="1016"/>
      <c r="AC5" s="209">
        <v>402</v>
      </c>
      <c r="AD5" s="209">
        <v>440</v>
      </c>
      <c r="AF5" s="24">
        <f>AD5-AC5</f>
        <v>38</v>
      </c>
      <c r="AH5" s="397">
        <v>220</v>
      </c>
    </row>
    <row r="6" spans="1:42" ht="21.6" thickTop="1" thickBot="1">
      <c r="A6" s="195"/>
      <c r="B6" s="219" t="s">
        <v>120</v>
      </c>
      <c r="C6" s="1026"/>
      <c r="D6" s="1025"/>
      <c r="E6" s="220">
        <f>'Pay &amp; Allowances'!E9</f>
        <v>0.2</v>
      </c>
      <c r="F6" s="221" t="str">
        <f>IF('Pay &amp; Allowances'!E9=20%,"Y","Z")</f>
        <v>Y</v>
      </c>
      <c r="G6" s="222" t="str">
        <f>'Pay &amp; Allowances'!E12</f>
        <v>KOTA</v>
      </c>
      <c r="H6" s="222" t="s">
        <v>916</v>
      </c>
      <c r="I6" s="223" t="s">
        <v>181</v>
      </c>
      <c r="J6" s="224"/>
      <c r="K6" s="224" t="s">
        <v>631</v>
      </c>
      <c r="L6" s="225">
        <f>IF('Pay &amp; Allowances'!G9="Yes",'Pay &amp; Allowances'!$I$9,"")</f>
        <v>10</v>
      </c>
      <c r="M6" s="226">
        <f>IF(L6="",0,IF(ISNA(ROUND(VLOOKUP($L$6,Master!$A$8:$D$19,3,0)/2,0)),0,ROUND(VLOOKUP($L$6,Master!$A$8:$D$19,3,0)/2,0)))</f>
        <v>0</v>
      </c>
      <c r="N6" s="226">
        <f>IF(M6="","",IF(OR($L$6=4,$L$6=5,$L$6=6,$L$6=7,$L$6=8,$L$6=9,$L$6=10),ROUND(($M$6+$O$4)*50%,0),ROUND(($M$6+$O$4)*53%,0)))</f>
        <v>0</v>
      </c>
      <c r="O6" s="226">
        <f>SUM(M6:N6)</f>
        <v>0</v>
      </c>
      <c r="P6" s="227" t="s">
        <v>615</v>
      </c>
      <c r="Q6" s="228" t="s">
        <v>486</v>
      </c>
      <c r="R6" s="228" t="s">
        <v>487</v>
      </c>
      <c r="S6" s="227" t="str">
        <f>Salary!M8</f>
        <v>GPF</v>
      </c>
      <c r="T6" s="224" t="s">
        <v>474</v>
      </c>
      <c r="U6" s="224" t="s">
        <v>599</v>
      </c>
      <c r="V6" s="336"/>
      <c r="W6" s="217">
        <v>650</v>
      </c>
      <c r="X6" s="218">
        <v>1625</v>
      </c>
      <c r="AA6" s="1015" t="s">
        <v>156</v>
      </c>
      <c r="AB6" s="1016"/>
      <c r="AC6" s="209">
        <v>602</v>
      </c>
      <c r="AD6" s="209">
        <v>658</v>
      </c>
      <c r="AF6" s="24">
        <f>AD6-AC6</f>
        <v>56</v>
      </c>
      <c r="AG6" s="229"/>
      <c r="AH6" s="398">
        <v>330</v>
      </c>
      <c r="AI6" s="229"/>
      <c r="AM6" s="229"/>
    </row>
    <row r="7" spans="1:42" ht="15.6" thickTop="1" thickBot="1">
      <c r="A7" s="195"/>
      <c r="B7" s="228" t="s">
        <v>108</v>
      </c>
      <c r="C7" s="230">
        <f>Salary!D10</f>
        <v>0</v>
      </c>
      <c r="D7" s="204">
        <f>IF(AND('Pay &amp; Allowances'!$L$12="YES",'Pay &amp; Allowances'!$N15="YES"),0,IF(AND($C$2="YES",$D$2="YES"),ROUND(($C7+$H7)*50%,0),ROUND($C7*50%,0)))</f>
        <v>0</v>
      </c>
      <c r="E7" s="231">
        <f>IF($E$5="Yes",IF(AND('Pay &amp; Allowances'!$L$12="YES",'Pay &amp; Allowances'!$N15="YES"),0,IF($F$6="Z",ROUND($C7*9%,0),IF($F$6="y",ROUND($C7*18%,0)))),0)</f>
        <v>0</v>
      </c>
      <c r="F7" s="231"/>
      <c r="G7" s="195">
        <f>IFERROR(IF(AND('Pay &amp; Allowances'!$L$12="YES",'Pay &amp; Allowances'!$N15="YES"),0,IF($G$5="Yes",IF('Pay &amp; Allowances'!$E$12="",0,IF(AH10&gt;23100,VLOOKUP($G$6,$R$20:$T$24,2,0),VLOOKUP($G$6,$R$20:$T$24,3,0))),0)),0)</f>
        <v>0</v>
      </c>
      <c r="H7" s="195">
        <f>IF(AND($C$2="YES",$D$2="YES"),ROUND($C7*20%,0),0)</f>
        <v>0</v>
      </c>
      <c r="I7" s="232">
        <f>Salary!L10</f>
        <v>0</v>
      </c>
      <c r="J7" s="233"/>
      <c r="K7" s="233">
        <f>Deductions!C26</f>
        <v>13000</v>
      </c>
      <c r="L7" s="233"/>
      <c r="M7" s="233"/>
      <c r="N7" s="233"/>
      <c r="O7" s="233"/>
      <c r="P7" s="233">
        <f>IF(AND(AH10&gt;0),IF(AH10&lt;=18000,265,IF(AH10&lt;=33500,440,IF(AH10&lt;=54000,658,875))),0)</f>
        <v>0</v>
      </c>
      <c r="Q7" s="233" t="str">
        <f>IF(C7&gt;80000,"6150",IF(C7&gt;72000,"4800",IF(C7&gt;62000,"4200",IF(C7&gt;51500,"3575",IF(C7&gt;38500,"2850",IF(C7&gt;28500,"2100",IF(C7&gt;23100,"1625",IF(C7&gt;17700,"1450","0"))))))))</f>
        <v>0</v>
      </c>
      <c r="R7" s="233" t="str">
        <f>IF(C7&gt;167000,"10500",IF(C7&gt;116000,"8900",Q7))</f>
        <v>0</v>
      </c>
      <c r="S7" s="233" t="str">
        <f>IF(AND($G$2="Probationary",'Pay &amp; Allowances'!N15="YES"),VLOOKUP($G$3,$AL$9:$AN$32,3,0),R7)</f>
        <v>0</v>
      </c>
      <c r="T7" s="233">
        <f>AE10</f>
        <v>7000</v>
      </c>
      <c r="U7" s="24">
        <f>IF(AND('Gen Info'!$C$11="YES",$G$2="NPS"),Master!S7,0)</f>
        <v>0</v>
      </c>
      <c r="V7" s="336"/>
      <c r="W7" s="217">
        <v>1100</v>
      </c>
      <c r="X7" s="218">
        <v>2100</v>
      </c>
      <c r="AA7" s="1004" t="s">
        <v>157</v>
      </c>
      <c r="AB7" s="1005"/>
      <c r="AC7" s="234">
        <v>800</v>
      </c>
      <c r="AD7" s="234">
        <v>875</v>
      </c>
      <c r="AF7" s="24">
        <f>AD7-AC7</f>
        <v>75</v>
      </c>
      <c r="AG7" s="229"/>
      <c r="AH7" s="398">
        <v>440</v>
      </c>
      <c r="AI7" s="229"/>
      <c r="AJ7" s="229"/>
      <c r="AK7" s="229"/>
      <c r="AM7" s="229"/>
    </row>
    <row r="8" spans="1:42" ht="16.5" customHeight="1" thickBot="1">
      <c r="A8" s="195">
        <v>4</v>
      </c>
      <c r="B8" s="228" t="s">
        <v>109</v>
      </c>
      <c r="C8" s="230">
        <f>Salary!D11</f>
        <v>0</v>
      </c>
      <c r="D8" s="204">
        <f>IF(AND('Pay &amp; Allowances'!$L$12="YES",'Pay &amp; Allowances'!$N16="YES"),0,IF(AND($C$2="YES",$D$2="YES"),ROUND(($C8+$H8)*50%,0),ROUND($C8*50%,0)))</f>
        <v>0</v>
      </c>
      <c r="E8" s="231">
        <f>IF($E$5="Yes",IF(AND('Pay &amp; Allowances'!$L$12="YES",'Pay &amp; Allowances'!$N16="YES"),0,IF($F$6="Z",ROUND($C8*9%,0),IF($F$6="y",ROUND($C8*18%,0)))),0)</f>
        <v>0</v>
      </c>
      <c r="F8" s="231"/>
      <c r="G8" s="195">
        <f>IFERROR(IF(AND('Pay &amp; Allowances'!$L$12="YES",'Pay &amp; Allowances'!$N16="YES"),0,IF($G$5="Yes",IF('Pay &amp; Allowances'!$E$12="",0,IF(C8&gt;23100,VLOOKUP($G$6,$R$20:$T$24,2,0),VLOOKUP($G$6,$R$20:$T$24,3,0))),0)),0)</f>
        <v>0</v>
      </c>
      <c r="H8" s="195">
        <f t="shared" ref="H8:H18" si="0">IF(AND($C$2="YES",$D$2="YES"),ROUND($C8*20%,0),0)</f>
        <v>0</v>
      </c>
      <c r="I8" s="232">
        <f>Salary!L11</f>
        <v>0</v>
      </c>
      <c r="J8" s="233"/>
      <c r="K8" s="233">
        <f>Deductions!D26</f>
        <v>13000</v>
      </c>
      <c r="L8" s="233"/>
      <c r="M8" s="233"/>
      <c r="N8" s="233"/>
      <c r="O8" s="233"/>
      <c r="P8" s="233">
        <f>IF(AND(AH11&gt;0),IF(AH11&lt;=18000,265,IF(AH11&lt;=33500,440,IF(AH11&lt;=54000,658,875))),0)</f>
        <v>0</v>
      </c>
      <c r="Q8" s="233" t="str">
        <f>IF(C8&gt;80000,"6150",IF(C8&gt;72000,"4800",IF(C8&gt;62000,"4200",IF(C8&gt;51500,"3575",IF(C8&gt;38500,"2850",IF(C8&gt;28500,"2100",IF(C8&gt;23100,"1625",IF(C8&gt;17700,"1450","0"))))))))</f>
        <v>0</v>
      </c>
      <c r="R8" s="233" t="str">
        <f>IF(C8&gt;167000,"10500",IF(C8&gt;116000,"8900",Q8))</f>
        <v>0</v>
      </c>
      <c r="S8" s="233" t="str">
        <f>IF(AND($G$2="Probationary",'Pay &amp; Allowances'!N16="YES"),VLOOKUP($G$3,$AL$9:$AN$32,3,0),R8)</f>
        <v>0</v>
      </c>
      <c r="T8" s="233">
        <f>AE10</f>
        <v>7000</v>
      </c>
      <c r="U8" s="24">
        <f>IF(AND('Gen Info'!$C$11="YES",$G$2="NPS"),Master!S8,0)</f>
        <v>0</v>
      </c>
      <c r="V8" s="336"/>
      <c r="W8" s="217">
        <v>1450</v>
      </c>
      <c r="X8" s="235">
        <v>2850</v>
      </c>
      <c r="AG8" s="229"/>
      <c r="AH8" s="229"/>
      <c r="AI8" s="236" t="s">
        <v>99</v>
      </c>
      <c r="AJ8" s="237" t="s">
        <v>464</v>
      </c>
      <c r="AK8" s="229"/>
      <c r="AL8" s="1084" t="s">
        <v>919</v>
      </c>
      <c r="AM8" s="1085"/>
      <c r="AN8" s="1085"/>
    </row>
    <row r="9" spans="1:42">
      <c r="A9" s="195">
        <v>5</v>
      </c>
      <c r="B9" s="228" t="s">
        <v>110</v>
      </c>
      <c r="C9" s="230">
        <f>Salary!D12</f>
        <v>0</v>
      </c>
      <c r="D9" s="204">
        <f>IF(AND('Pay &amp; Allowances'!$L$12="YES",'Pay &amp; Allowances'!$N17="YES"),0,IF(AND($C$2="YES",$D$2="YES"),ROUND(($C9+$H9)*50%,0),ROUND($C9*50%,0)))</f>
        <v>0</v>
      </c>
      <c r="E9" s="231">
        <f>IF($E$5="Yes",IF(AND('Pay &amp; Allowances'!$L$12="YES",'Pay &amp; Allowances'!$N17="YES"),0,IF($F$6="Z",ROUND($C9*9%,0),IF($F$6="y",ROUND($C9*18%,0)))),0)</f>
        <v>0</v>
      </c>
      <c r="F9" s="231"/>
      <c r="G9" s="195">
        <f>IFERROR(IF(AND('Pay &amp; Allowances'!$L$12="YES",'Pay &amp; Allowances'!$N17="YES"),0,IF($G$5="Yes",IF('Pay &amp; Allowances'!$E$12="",0,IF(C9&gt;23100,VLOOKUP($G$6,$R$20:$T$24,2,0),VLOOKUP($G$6,$R$20:$T$24,3,0))),0)),0)</f>
        <v>0</v>
      </c>
      <c r="H9" s="195">
        <f t="shared" si="0"/>
        <v>0</v>
      </c>
      <c r="I9" s="232">
        <f>Salary!L12</f>
        <v>0</v>
      </c>
      <c r="J9" s="233"/>
      <c r="K9" s="233">
        <f>Deductions!E26</f>
        <v>13000</v>
      </c>
      <c r="L9" s="233"/>
      <c r="M9" s="233"/>
      <c r="N9" s="233"/>
      <c r="O9" s="233"/>
      <c r="P9" s="233">
        <f t="shared" ref="P9:P18" si="1">IF(AND(AH12&gt;0),IF(AH12&lt;=18000,265,IF(AH12&lt;=33500,440,IF(AH12&lt;=54000,658,875))),0)</f>
        <v>0</v>
      </c>
      <c r="Q9" s="233" t="str">
        <f t="shared" ref="Q9:Q18" si="2">IF(C9&gt;72000,"4800",IF(C9&gt;62000,"4200",IF(C9&gt;51500,"3575",IF(C9&gt;38500,"2850",IF(C9&gt;28500,"2100",IF(C9&gt;23100,"1625",IF(C9&gt;17700,"1450","0")))))))</f>
        <v>0</v>
      </c>
      <c r="R9" s="233" t="str">
        <f t="shared" ref="R9:R18" si="3">IF(C9&gt;167000,"10500",IF(C9&gt;116000,"8900",IF(C9&gt;80000,"6150",Q9)))</f>
        <v>0</v>
      </c>
      <c r="S9" s="233" t="str">
        <f>IF(AND($G$2="Probationary",'Pay &amp; Allowances'!N17="YES"),VLOOKUP($G$3,$AL$9:$AN$32,3,0),R9)</f>
        <v>0</v>
      </c>
      <c r="T9" s="233">
        <f>AE10</f>
        <v>7000</v>
      </c>
      <c r="U9" s="24">
        <f>IF(AND('Gen Info'!$C$11="YES",$G$2="NPS"),Master!S9,0)</f>
        <v>0</v>
      </c>
      <c r="V9" s="336"/>
      <c r="W9" s="217">
        <v>2100</v>
      </c>
      <c r="X9" s="235">
        <v>3575</v>
      </c>
      <c r="AA9" s="672" t="s">
        <v>146</v>
      </c>
      <c r="AB9" s="673"/>
      <c r="AC9" s="673"/>
      <c r="AD9" s="674"/>
      <c r="AG9" s="238" t="s">
        <v>160</v>
      </c>
      <c r="AH9" s="238" t="s">
        <v>455</v>
      </c>
      <c r="AI9" s="239">
        <f>'Pay &amp; Allowances'!J6</f>
        <v>0</v>
      </c>
      <c r="AJ9" s="239" t="str">
        <f>IF(OR('Pay &amp; Allowances'!J6="",'Pay &amp; Allowances'!M6=""),"",'Pay &amp; Allowances'!$M$6)</f>
        <v/>
      </c>
      <c r="AK9" s="229"/>
      <c r="AL9" s="240" t="s">
        <v>122</v>
      </c>
      <c r="AM9" s="240">
        <v>1</v>
      </c>
      <c r="AN9" s="24">
        <v>700</v>
      </c>
      <c r="AO9" s="663" t="s">
        <v>456</v>
      </c>
      <c r="AP9" s="663"/>
    </row>
    <row r="10" spans="1:42" ht="15.6" customHeight="1">
      <c r="A10" s="195">
        <v>6</v>
      </c>
      <c r="B10" s="228" t="s">
        <v>111</v>
      </c>
      <c r="C10" s="230">
        <f>Salary!D13</f>
        <v>0</v>
      </c>
      <c r="D10" s="204">
        <f>IF(AND('Pay &amp; Allowances'!$L$12="YES",'Pay &amp; Allowances'!$N18="YES"),0,IF(AND($C$2="YES",$D$2="YES"),ROUND(($C10+$H10)*50%,0),ROUND($C10*50%,0)))</f>
        <v>0</v>
      </c>
      <c r="E10" s="231">
        <f>IF($E$5="Yes",IF(AND('Pay &amp; Allowances'!$L$12="YES",'Pay &amp; Allowances'!$N18="YES"),0,IF($F$6="Z",ROUND($C10*9%,0),IF($F$6="y",ROUND($C10*18%,0)))),0)</f>
        <v>0</v>
      </c>
      <c r="F10" s="231"/>
      <c r="G10" s="195">
        <f>IFERROR(IF(AND('Pay &amp; Allowances'!$L$12="YES",'Pay &amp; Allowances'!$N18="YES"),0,IF($G$5="Yes",IF('Pay &amp; Allowances'!$E$12="",0,IF(C10&gt;23100,VLOOKUP($G$6,$R$20:$T$24,2,0),VLOOKUP($G$6,$R$20:$T$24,3,0))),0)),0)</f>
        <v>0</v>
      </c>
      <c r="H10" s="195">
        <f t="shared" si="0"/>
        <v>0</v>
      </c>
      <c r="I10" s="232">
        <f>Salary!L13</f>
        <v>0</v>
      </c>
      <c r="J10" s="233"/>
      <c r="K10" s="233">
        <f>Deductions!F26</f>
        <v>13000</v>
      </c>
      <c r="L10" s="233"/>
      <c r="M10" s="233"/>
      <c r="N10" s="233"/>
      <c r="O10" s="233"/>
      <c r="P10" s="233">
        <f t="shared" si="1"/>
        <v>0</v>
      </c>
      <c r="Q10" s="233" t="str">
        <f t="shared" si="2"/>
        <v>0</v>
      </c>
      <c r="R10" s="233" t="str">
        <f t="shared" si="3"/>
        <v>0</v>
      </c>
      <c r="S10" s="233" t="str">
        <f>IF(AND($G$2="Probationary",'Pay &amp; Allowances'!N18="YES"),VLOOKUP($G$3,$AL$9:$AN$32,3,0),R10)</f>
        <v>0</v>
      </c>
      <c r="T10" s="233">
        <f>AE10</f>
        <v>7000</v>
      </c>
      <c r="U10" s="24">
        <f>IF(AND('Gen Info'!$C$11="YES",$G$2="NPS"),Master!S10,0)</f>
        <v>0</v>
      </c>
      <c r="V10" s="336"/>
      <c r="W10" s="217">
        <v>3300</v>
      </c>
      <c r="X10" s="235">
        <v>4200</v>
      </c>
      <c r="AA10" s="668" t="s">
        <v>147</v>
      </c>
      <c r="AB10" s="669"/>
      <c r="AC10" s="241">
        <v>43160</v>
      </c>
      <c r="AD10" s="242">
        <v>43891</v>
      </c>
      <c r="AE10" s="243">
        <f>IF(Deductions!F32="YES",Deductions!H33,IF(Salary!$AD$6&lt;22001,800,IF(Salary!$AD$6&lt;28501,1200,IF(Salary!$AD$6&lt;46501,2200,IF(Salary!$AD$6&lt;72001,3000,5000)))))</f>
        <v>7000</v>
      </c>
      <c r="AF10" s="24">
        <f>ROW(AF10)-7</f>
        <v>3</v>
      </c>
      <c r="AG10" s="244">
        <v>43891</v>
      </c>
      <c r="AH10" s="238">
        <f>IF($AI$9=ROW(AG10)-7,'Pay &amp; Allowances'!$M$6,'Pay &amp; Allowances'!$F$5)</f>
        <v>0</v>
      </c>
      <c r="AI10" s="245" t="s">
        <v>453</v>
      </c>
      <c r="AJ10" s="246">
        <v>44256</v>
      </c>
      <c r="AK10" s="247">
        <f>AH10</f>
        <v>0</v>
      </c>
      <c r="AL10" s="240" t="s">
        <v>123</v>
      </c>
      <c r="AM10" s="240">
        <v>2</v>
      </c>
      <c r="AN10" s="24">
        <v>700</v>
      </c>
      <c r="AO10" s="366" t="s">
        <v>594</v>
      </c>
    </row>
    <row r="11" spans="1:42">
      <c r="A11" s="195">
        <v>7</v>
      </c>
      <c r="B11" s="228" t="s">
        <v>112</v>
      </c>
      <c r="C11" s="230">
        <f>Salary!D14</f>
        <v>0</v>
      </c>
      <c r="D11" s="204">
        <f>IF(AND('Pay &amp; Allowances'!$L$12="YES",'Pay &amp; Allowances'!$N19="YES"),0,IF(AND($C$2="YES",$D$2="YES"),ROUND(($C11+$H11)*50%,0),ROUND($C11*50%,0)))</f>
        <v>0</v>
      </c>
      <c r="E11" s="231">
        <f>IF($E$5="Yes",IF(AND('Pay &amp; Allowances'!$L$12="YES",'Pay &amp; Allowances'!$N19="YES"),0,IF($F$6="Z",ROUND($C11*9%,0),IF($F$6="y",ROUND($C11*18%,0)))),0)</f>
        <v>0</v>
      </c>
      <c r="F11" s="231"/>
      <c r="G11" s="195">
        <f>IFERROR(IF(AND('Pay &amp; Allowances'!$L$12="YES",'Pay &amp; Allowances'!$N19="YES"),0,IF($G$5="Yes",IF('Pay &amp; Allowances'!$E$12="",0,IF(C11&gt;23100,VLOOKUP($G$6,$R$20:$T$24,2,0),VLOOKUP($G$6,$R$20:$T$24,3,0))),0)),0)</f>
        <v>0</v>
      </c>
      <c r="H11" s="195">
        <f t="shared" si="0"/>
        <v>0</v>
      </c>
      <c r="I11" s="232">
        <f>Salary!L14</f>
        <v>0</v>
      </c>
      <c r="J11" s="233"/>
      <c r="K11" s="233">
        <f>Deductions!H26</f>
        <v>13000</v>
      </c>
      <c r="L11" s="233"/>
      <c r="M11" s="233"/>
      <c r="N11" s="233"/>
      <c r="O11" s="233"/>
      <c r="P11" s="233">
        <f t="shared" si="1"/>
        <v>0</v>
      </c>
      <c r="Q11" s="233" t="str">
        <f t="shared" si="2"/>
        <v>0</v>
      </c>
      <c r="R11" s="233" t="str">
        <f t="shared" si="3"/>
        <v>0</v>
      </c>
      <c r="S11" s="233" t="str">
        <f>IF(AND($G$2="Probationary",'Pay &amp; Allowances'!N19="YES"),VLOOKUP($G$3,$AL$9:$AN$32,3,0),R11)</f>
        <v>0</v>
      </c>
      <c r="T11" s="233">
        <f t="shared" ref="T11:T18" si="4">T10</f>
        <v>7000</v>
      </c>
      <c r="U11" s="24">
        <f>IF(AND('Gen Info'!$C$11="YES",$G$2="NPS"),Master!S11,0)</f>
        <v>0</v>
      </c>
      <c r="V11" s="336"/>
      <c r="W11" s="217">
        <v>4100</v>
      </c>
      <c r="X11" s="235">
        <v>4800</v>
      </c>
      <c r="AA11" s="668" t="s">
        <v>148</v>
      </c>
      <c r="AB11" s="669"/>
      <c r="AC11" s="248">
        <v>500</v>
      </c>
      <c r="AD11" s="249">
        <v>800</v>
      </c>
      <c r="AF11" s="24">
        <f t="shared" ref="AF11:AF21" si="5">ROW(AF11)-7</f>
        <v>4</v>
      </c>
      <c r="AG11" s="250">
        <v>43922</v>
      </c>
      <c r="AH11" s="229">
        <f>IF($AI$9=ROW(AG11)-7,'Pay &amp; Allowances'!$M$6,AH10)</f>
        <v>0</v>
      </c>
      <c r="AI11" s="1091"/>
      <c r="AJ11" s="1091"/>
      <c r="AL11" s="240" t="s">
        <v>124</v>
      </c>
      <c r="AM11" s="240">
        <v>3</v>
      </c>
      <c r="AN11" s="24">
        <v>700</v>
      </c>
      <c r="AO11" s="127" t="s">
        <v>443</v>
      </c>
    </row>
    <row r="12" spans="1:42">
      <c r="A12" s="195">
        <v>8</v>
      </c>
      <c r="B12" s="228" t="s">
        <v>113</v>
      </c>
      <c r="C12" s="230">
        <f>Salary!D15</f>
        <v>0</v>
      </c>
      <c r="D12" s="204">
        <f>IF(AND('Pay &amp; Allowances'!$L$12="YES",'Pay &amp; Allowances'!$N20="YES"),0,IF(AND($C$2="YES",$D$2="YES"),ROUND(($C12+$H12)*50%,0),ROUND($C12*50%,0)))</f>
        <v>0</v>
      </c>
      <c r="E12" s="231">
        <f>IF($E$5="Yes",IF(AND('Pay &amp; Allowances'!$L$12="YES",'Pay &amp; Allowances'!$N20="YES"),0,IF($F$6="Z",ROUND($C12*9%,0),IF($F$6="y",ROUND($C12*18%,0)))),0)</f>
        <v>0</v>
      </c>
      <c r="F12" s="231"/>
      <c r="G12" s="195">
        <f>IFERROR(IF(AND('Pay &amp; Allowances'!$L$12="YES",'Pay &amp; Allowances'!$N20="YES"),0,IF($G$5="Yes",IF('Pay &amp; Allowances'!$E$12="",0,IF(C12&gt;23100,VLOOKUP($G$6,$R$20:$T$24,2,0),VLOOKUP($G$6,$R$20:$T$24,3,0))),0)),0)</f>
        <v>0</v>
      </c>
      <c r="H12" s="195">
        <f t="shared" si="0"/>
        <v>0</v>
      </c>
      <c r="I12" s="232">
        <f>Salary!L15</f>
        <v>0</v>
      </c>
      <c r="J12" s="233"/>
      <c r="K12" s="233">
        <f>Deductions!I26</f>
        <v>18000</v>
      </c>
      <c r="L12" s="233"/>
      <c r="M12" s="233"/>
      <c r="N12" s="233"/>
      <c r="O12" s="233"/>
      <c r="P12" s="233">
        <f t="shared" si="1"/>
        <v>0</v>
      </c>
      <c r="Q12" s="233" t="str">
        <f t="shared" si="2"/>
        <v>0</v>
      </c>
      <c r="R12" s="233" t="str">
        <f t="shared" si="3"/>
        <v>0</v>
      </c>
      <c r="S12" s="233" t="str">
        <f>IF(AND($G$2="Probationary",'Pay &amp; Allowances'!N20="YES"),VLOOKUP($G$3,$AL$9:$AN$32,3,0),R12)</f>
        <v>0</v>
      </c>
      <c r="T12" s="233">
        <f t="shared" si="4"/>
        <v>7000</v>
      </c>
      <c r="U12" s="24">
        <f>IF(AND('Gen Info'!$C$11="YES",$G$2="NPS"),Master!S12,0)</f>
        <v>0</v>
      </c>
      <c r="V12" s="336"/>
      <c r="W12" s="217">
        <v>5200</v>
      </c>
      <c r="X12" s="235">
        <v>6150</v>
      </c>
      <c r="AA12" s="668" t="s">
        <v>149</v>
      </c>
      <c r="AB12" s="669"/>
      <c r="AC12" s="248">
        <v>700</v>
      </c>
      <c r="AD12" s="249">
        <v>1200</v>
      </c>
      <c r="AF12" s="24">
        <f t="shared" si="5"/>
        <v>5</v>
      </c>
      <c r="AG12" s="250">
        <v>43952</v>
      </c>
      <c r="AH12" s="229">
        <f>IF($AI$9=ROW(AG12)-7,'Pay &amp; Allowances'!$M$6,AH11)</f>
        <v>0</v>
      </c>
      <c r="AI12" s="229"/>
      <c r="AJ12" s="957" t="s">
        <v>607</v>
      </c>
      <c r="AK12" s="957"/>
      <c r="AL12" s="240" t="s">
        <v>125</v>
      </c>
      <c r="AM12" s="240">
        <v>4</v>
      </c>
      <c r="AN12" s="24">
        <v>700</v>
      </c>
      <c r="AO12" s="127" t="s">
        <v>444</v>
      </c>
    </row>
    <row r="13" spans="1:42" ht="14.55" customHeight="1">
      <c r="A13" s="195">
        <v>9</v>
      </c>
      <c r="B13" s="228" t="s">
        <v>114</v>
      </c>
      <c r="C13" s="230">
        <f>Salary!D16</f>
        <v>0</v>
      </c>
      <c r="D13" s="204">
        <f>IF(AND('Pay &amp; Allowances'!$L$12="YES",'Pay &amp; Allowances'!$N21="YES"),0,IF(AND($C$2="YES",$D$2="YES"),ROUND(($C13+$H13)*50%,0),ROUND($C13*50%,0)))</f>
        <v>0</v>
      </c>
      <c r="E13" s="231">
        <f>IF($E$5="Yes",IF(AND('Pay &amp; Allowances'!$L$12="YES",'Pay &amp; Allowances'!$N21="YES"),0,IF($F$6="Z",ROUND($C13*9%,0),IF($F$6="y",ROUND($C13*18%,0)))),0)</f>
        <v>0</v>
      </c>
      <c r="F13" s="231"/>
      <c r="G13" s="195">
        <f>IFERROR(IF(AND('Pay &amp; Allowances'!$L$12="YES",'Pay &amp; Allowances'!$N21="YES"),0,IF($G$5="Yes",IF('Pay &amp; Allowances'!$E$12="",0,IF(C13&gt;23100,VLOOKUP($G$6,$R$20:$T$24,2,0),VLOOKUP($G$6,$R$20:$T$24,3,0))),0)),0)</f>
        <v>0</v>
      </c>
      <c r="H13" s="195">
        <f t="shared" si="0"/>
        <v>0</v>
      </c>
      <c r="I13" s="232">
        <f>Salary!L16</f>
        <v>0</v>
      </c>
      <c r="J13" s="233"/>
      <c r="K13" s="233">
        <f>Deductions!J26</f>
        <v>18000</v>
      </c>
      <c r="L13" s="233"/>
      <c r="M13" s="233"/>
      <c r="N13" s="233"/>
      <c r="O13" s="233"/>
      <c r="P13" s="233">
        <f t="shared" si="1"/>
        <v>0</v>
      </c>
      <c r="Q13" s="233" t="str">
        <f t="shared" si="2"/>
        <v>0</v>
      </c>
      <c r="R13" s="233" t="str">
        <f t="shared" si="3"/>
        <v>0</v>
      </c>
      <c r="S13" s="233" t="str">
        <f>IF(AND($G$2="Probationary",'Pay &amp; Allowances'!N21="YES"),VLOOKUP($G$3,$AL$9:$AN$32,3,0),R13)</f>
        <v>0</v>
      </c>
      <c r="T13" s="233">
        <f t="shared" si="4"/>
        <v>7000</v>
      </c>
      <c r="U13" s="24">
        <f>IF(AND('Gen Info'!$C$11="YES",$G$2="NPS"),Master!S13,0)</f>
        <v>0</v>
      </c>
      <c r="V13" s="336"/>
      <c r="W13" s="217">
        <v>5700</v>
      </c>
      <c r="X13" s="235">
        <v>8900</v>
      </c>
      <c r="AA13" s="668" t="s">
        <v>150</v>
      </c>
      <c r="AB13" s="669"/>
      <c r="AC13" s="248">
        <v>1300</v>
      </c>
      <c r="AD13" s="249">
        <v>2200</v>
      </c>
      <c r="AF13" s="24">
        <f t="shared" si="5"/>
        <v>6</v>
      </c>
      <c r="AG13" s="250">
        <v>43983</v>
      </c>
      <c r="AH13" s="229">
        <f>IF($AI$9=ROW(AG13)-7,'Pay &amp; Allowances'!$M$6,AH12)</f>
        <v>0</v>
      </c>
      <c r="AI13" s="229"/>
      <c r="AJ13" s="957"/>
      <c r="AK13" s="957"/>
      <c r="AL13" s="240" t="s">
        <v>126</v>
      </c>
      <c r="AM13" s="240">
        <v>5</v>
      </c>
      <c r="AN13" s="24">
        <v>700</v>
      </c>
      <c r="AO13" s="127" t="s">
        <v>445</v>
      </c>
    </row>
    <row r="14" spans="1:42">
      <c r="A14" s="195">
        <v>10</v>
      </c>
      <c r="B14" s="228" t="s">
        <v>115</v>
      </c>
      <c r="C14" s="230">
        <f>Salary!D17</f>
        <v>0</v>
      </c>
      <c r="D14" s="204">
        <f>IF(AND('Pay &amp; Allowances'!$L$12="YES",'Pay &amp; Allowances'!$N22="YES"),0,IF(AND($C$2="YES",$D$2="YES"),ROUND(($C14+$H14)*50%,0),ROUND($C14*50%,0)))</f>
        <v>0</v>
      </c>
      <c r="E14" s="231">
        <f>IF($E$5="Yes",IF(AND('Pay &amp; Allowances'!$L$12="YES",'Pay &amp; Allowances'!$N22="YES"),0,IF($F$6="Z",ROUND($C14*9%,0),IF($F$6="y",ROUND($C14*18%,0)))),0)</f>
        <v>0</v>
      </c>
      <c r="F14" s="231"/>
      <c r="G14" s="195">
        <f>IFERROR(IF(AND('Pay &amp; Allowances'!$L$12="YES",'Pay &amp; Allowances'!$N22="YES"),0,IF($G$5="Yes",IF('Pay &amp; Allowances'!$E$12="",0,IF(C14&gt;23100,VLOOKUP($G$6,$R$20:$T$24,2,0),VLOOKUP($G$6,$R$20:$T$24,3,0))),0)),0)</f>
        <v>0</v>
      </c>
      <c r="H14" s="195">
        <f t="shared" si="0"/>
        <v>0</v>
      </c>
      <c r="I14" s="232">
        <f>Salary!L17</f>
        <v>0</v>
      </c>
      <c r="J14" s="233"/>
      <c r="K14" s="233">
        <f>Deductions!K26</f>
        <v>18000</v>
      </c>
      <c r="L14" s="233"/>
      <c r="M14" s="233"/>
      <c r="N14" s="233"/>
      <c r="O14" s="233"/>
      <c r="P14" s="233">
        <f t="shared" si="1"/>
        <v>0</v>
      </c>
      <c r="Q14" s="233" t="str">
        <f t="shared" si="2"/>
        <v>0</v>
      </c>
      <c r="R14" s="233" t="str">
        <f t="shared" si="3"/>
        <v>0</v>
      </c>
      <c r="S14" s="233" t="str">
        <f>IF(AND($G$2="Probationary",'Pay &amp; Allowances'!N22="YES"),VLOOKUP($G$3,$AL$9:$AN$32,3,0),R14)</f>
        <v>0</v>
      </c>
      <c r="T14" s="233">
        <f t="shared" si="4"/>
        <v>7000</v>
      </c>
      <c r="U14" s="24">
        <f>IF(AND('Gen Info'!$C$11="YES",$G$2="NPS"),Master!S14,0)</f>
        <v>0</v>
      </c>
      <c r="V14" s="337"/>
      <c r="W14" s="251">
        <v>6200</v>
      </c>
      <c r="X14" s="252">
        <v>10500</v>
      </c>
      <c r="AA14" s="668" t="s">
        <v>151</v>
      </c>
      <c r="AB14" s="669"/>
      <c r="AC14" s="248">
        <v>1800</v>
      </c>
      <c r="AD14" s="249">
        <v>3000</v>
      </c>
      <c r="AF14" s="24">
        <f t="shared" si="5"/>
        <v>7</v>
      </c>
      <c r="AG14" s="250">
        <v>44013</v>
      </c>
      <c r="AH14" s="229">
        <f>IF($AI$9=ROW(AG14)-7,'Pay &amp; Allowances'!$M$6,MROUND(AH13*103%,100))</f>
        <v>0</v>
      </c>
      <c r="AI14" s="229"/>
      <c r="AJ14" s="389" t="s">
        <v>455</v>
      </c>
      <c r="AK14" s="229"/>
      <c r="AL14" s="240" t="s">
        <v>127</v>
      </c>
      <c r="AM14" s="240">
        <v>6</v>
      </c>
      <c r="AN14" s="24">
        <v>700</v>
      </c>
      <c r="AO14" s="127" t="s">
        <v>446</v>
      </c>
    </row>
    <row r="15" spans="1:42">
      <c r="A15" s="195">
        <v>11</v>
      </c>
      <c r="B15" s="228" t="s">
        <v>116</v>
      </c>
      <c r="C15" s="230">
        <f>Salary!D18</f>
        <v>0</v>
      </c>
      <c r="D15" s="204">
        <f>IF(AND('Pay &amp; Allowances'!$L$12="YES",'Pay &amp; Allowances'!$N23="YES"),0,IF(AND($C$2="YES",$D$2="YES"),ROUND(($C15+$H15)*53%,0),ROUND($C15*53%,0)))</f>
        <v>0</v>
      </c>
      <c r="E15" s="231">
        <f>IF($E$5="Yes",IF(AND('Pay &amp; Allowances'!$L$12="YES",'Pay &amp; Allowances'!$N23="YES"),0,IF($F$6="Z",ROUND($C15*$E$6,0),IF($F$6="y",ROUND($C15*$E$6,0)))),0)</f>
        <v>0</v>
      </c>
      <c r="F15" s="231"/>
      <c r="G15" s="195">
        <f>IFERROR(IF(AND('Pay &amp; Allowances'!$L$12="YES",'Pay &amp; Allowances'!$N23="YES"),0,IF($G$5="Yes",IF('Pay &amp; Allowances'!$E$12="",0,IF(C15&gt;23100,VLOOKUP($G$6,$R$20:$T$24,2,0),VLOOKUP($G$6,$R$20:$T$24,3,0))),0)),0)</f>
        <v>0</v>
      </c>
      <c r="H15" s="195">
        <f t="shared" si="0"/>
        <v>0</v>
      </c>
      <c r="I15" s="232">
        <f>Salary!L18</f>
        <v>0</v>
      </c>
      <c r="J15" s="233"/>
      <c r="K15" s="233">
        <f>Deductions!L26</f>
        <v>35000</v>
      </c>
      <c r="L15" s="233"/>
      <c r="M15" s="233"/>
      <c r="N15" s="233"/>
      <c r="O15" s="233"/>
      <c r="P15" s="233">
        <f t="shared" si="1"/>
        <v>0</v>
      </c>
      <c r="Q15" s="233" t="str">
        <f t="shared" si="2"/>
        <v>0</v>
      </c>
      <c r="R15" s="233" t="str">
        <f t="shared" si="3"/>
        <v>0</v>
      </c>
      <c r="S15" s="233" t="str">
        <f>IF(AND($G$2="Probationary",'Pay &amp; Allowances'!N23="YES"),VLOOKUP($G$3,$AL$9:$AN$32,3,0),R15)</f>
        <v>0</v>
      </c>
      <c r="T15" s="233">
        <f t="shared" si="4"/>
        <v>7000</v>
      </c>
      <c r="U15" s="24">
        <f>IF(AND('Gen Info'!$C$11="YES",$G$2="NPS"),Master!S15,0)</f>
        <v>0</v>
      </c>
      <c r="V15" s="229"/>
      <c r="AA15" s="668" t="s">
        <v>152</v>
      </c>
      <c r="AB15" s="669"/>
      <c r="AC15" s="248">
        <v>3000</v>
      </c>
      <c r="AD15" s="249">
        <v>5000</v>
      </c>
      <c r="AF15" s="24">
        <f t="shared" si="5"/>
        <v>8</v>
      </c>
      <c r="AG15" s="250">
        <v>44044</v>
      </c>
      <c r="AH15" s="229">
        <f>IF($AI$9=ROW(AG15)-7,'Pay &amp; Allowances'!$M$6,AH14)</f>
        <v>0</v>
      </c>
      <c r="AI15" s="229"/>
      <c r="AJ15" s="388" t="s">
        <v>608</v>
      </c>
      <c r="AK15" s="229"/>
      <c r="AL15" s="240" t="s">
        <v>128</v>
      </c>
      <c r="AM15" s="240">
        <v>7</v>
      </c>
      <c r="AN15" s="24">
        <v>700</v>
      </c>
    </row>
    <row r="16" spans="1:42">
      <c r="A16" s="195">
        <v>12</v>
      </c>
      <c r="B16" s="228" t="s">
        <v>117</v>
      </c>
      <c r="C16" s="230">
        <f>Salary!D19</f>
        <v>0</v>
      </c>
      <c r="D16" s="204">
        <f>IF(AND('Pay &amp; Allowances'!$L$12="YES",'Pay &amp; Allowances'!$N24="YES"),0,IF(AND($C$2="YES",$D$2="YES"),ROUND(($C16+$H16)*53%,0),ROUND($C16*53%,0)))</f>
        <v>0</v>
      </c>
      <c r="E16" s="231">
        <f>IF($E$5="Yes",IF(AND('Pay &amp; Allowances'!$L$12="YES",'Pay &amp; Allowances'!$N24="YES"),0,IF($F$6="Z",ROUND($C16*$E$6,0),IF($F$6="y",ROUND($C16*$E$6,0)))),0)</f>
        <v>0</v>
      </c>
      <c r="F16" s="231"/>
      <c r="G16" s="195">
        <f>IFERROR(IF(AND('Pay &amp; Allowances'!$L$12="YES",'Pay &amp; Allowances'!$N24="YES"),0,IF($G$5="Yes",IF('Pay &amp; Allowances'!$E$12="",0,IF(C16&gt;23100,VLOOKUP($G$6,$R$20:$T$24,2,0),VLOOKUP($G$6,$R$20:$T$24,3,0))),0)),0)</f>
        <v>0</v>
      </c>
      <c r="H16" s="195">
        <f t="shared" si="0"/>
        <v>0</v>
      </c>
      <c r="I16" s="232">
        <f>Salary!L19</f>
        <v>0</v>
      </c>
      <c r="J16" s="233"/>
      <c r="K16" s="233">
        <f>Deductions!M26</f>
        <v>35000</v>
      </c>
      <c r="L16" s="233"/>
      <c r="M16" s="233"/>
      <c r="N16" s="233"/>
      <c r="O16" s="233"/>
      <c r="P16" s="233">
        <f t="shared" si="1"/>
        <v>0</v>
      </c>
      <c r="Q16" s="233" t="str">
        <f t="shared" si="2"/>
        <v>0</v>
      </c>
      <c r="R16" s="233" t="str">
        <f t="shared" si="3"/>
        <v>0</v>
      </c>
      <c r="S16" s="233" t="str">
        <f>IF(AND($G$2="Probationary",'Pay &amp; Allowances'!N24="YES"),VLOOKUP($G$3,$AL$9:$AN$32,3,0),R16)</f>
        <v>0</v>
      </c>
      <c r="T16" s="233">
        <f t="shared" si="4"/>
        <v>7000</v>
      </c>
      <c r="U16" s="24">
        <f>IF(AND('Gen Info'!$C$11="YES",$G$2="NPS"),Master!S16,0)</f>
        <v>0</v>
      </c>
      <c r="V16" s="229"/>
      <c r="AA16" s="670" t="s">
        <v>153</v>
      </c>
      <c r="AB16" s="671"/>
      <c r="AC16" s="253">
        <v>4000</v>
      </c>
      <c r="AD16" s="254">
        <v>7000</v>
      </c>
      <c r="AF16" s="24">
        <f t="shared" si="5"/>
        <v>9</v>
      </c>
      <c r="AG16" s="250">
        <v>44075</v>
      </c>
      <c r="AH16" s="229">
        <f>IF($AI$9=ROW(AG16)-7,'Pay &amp; Allowances'!$M$6,AH15)</f>
        <v>0</v>
      </c>
      <c r="AI16" s="229"/>
      <c r="AJ16" s="388" t="s">
        <v>121</v>
      </c>
      <c r="AK16" s="229"/>
      <c r="AL16" s="240" t="s">
        <v>129</v>
      </c>
      <c r="AM16" s="240">
        <v>8</v>
      </c>
      <c r="AN16" s="24">
        <v>800</v>
      </c>
    </row>
    <row r="17" spans="1:57">
      <c r="A17" s="195">
        <v>1</v>
      </c>
      <c r="B17" s="228" t="s">
        <v>118</v>
      </c>
      <c r="C17" s="230">
        <f>Salary!D20</f>
        <v>0</v>
      </c>
      <c r="D17" s="204">
        <f>IF(AND('Pay &amp; Allowances'!$L$12="YES",'Pay &amp; Allowances'!$N25="YES"),0,IF(AND($C$2="YES",$D$2="YES"),ROUND(($C17+$H17)*53%,0),ROUND($C17*53%,0)))</f>
        <v>0</v>
      </c>
      <c r="E17" s="231">
        <f>IF($E$5="Yes",IF(AND('Pay &amp; Allowances'!$L$12="YES",'Pay &amp; Allowances'!$N25="YES"),0,IF($F$6="Z",ROUND($C17*$E$6,0),IF($F$6="y",ROUND($C17*$E$6,0)))),0)</f>
        <v>0</v>
      </c>
      <c r="F17" s="231"/>
      <c r="G17" s="195">
        <f>IFERROR(IF(AND('Pay &amp; Allowances'!$L$12="YES",'Pay &amp; Allowances'!$N25="YES"),0,IF($G$5="Yes",IF('Pay &amp; Allowances'!$E$12="",0,IF(C17&gt;23100,VLOOKUP($G$6,$R$20:$T$24,2,0),VLOOKUP($G$6,$R$20:$T$24,3,0))),0)),0)</f>
        <v>0</v>
      </c>
      <c r="H17" s="195">
        <f t="shared" si="0"/>
        <v>0</v>
      </c>
      <c r="I17" s="232">
        <f>Salary!L20</f>
        <v>0</v>
      </c>
      <c r="J17" s="233"/>
      <c r="K17" s="233">
        <f>Deductions!N26</f>
        <v>35000</v>
      </c>
      <c r="L17" s="233"/>
      <c r="M17" s="233"/>
      <c r="N17" s="233"/>
      <c r="O17" s="233"/>
      <c r="P17" s="233">
        <f t="shared" si="1"/>
        <v>0</v>
      </c>
      <c r="Q17" s="233" t="str">
        <f t="shared" si="2"/>
        <v>0</v>
      </c>
      <c r="R17" s="233" t="str">
        <f t="shared" si="3"/>
        <v>0</v>
      </c>
      <c r="S17" s="233" t="str">
        <f>IF(AND($G$2="Probationary",'Pay &amp; Allowances'!N25="YES"),VLOOKUP($G$3,$AL$9:$AN$32,3,0),R17)</f>
        <v>0</v>
      </c>
      <c r="T17" s="233">
        <f t="shared" si="4"/>
        <v>7000</v>
      </c>
      <c r="U17" s="24">
        <f>IF(AND('Gen Info'!$C$11="YES",$G$2="NPS"),Master!S17,0)</f>
        <v>0</v>
      </c>
      <c r="V17" s="1094" t="s">
        <v>436</v>
      </c>
      <c r="W17" s="1095"/>
      <c r="X17" s="255">
        <v>2</v>
      </c>
      <c r="Y17" s="247" t="s">
        <v>442</v>
      </c>
      <c r="Z17" s="256" t="s">
        <v>450</v>
      </c>
      <c r="AF17" s="24">
        <f t="shared" si="5"/>
        <v>10</v>
      </c>
      <c r="AG17" s="250">
        <v>44105</v>
      </c>
      <c r="AH17" s="229">
        <f>IF($AI$9=ROW(AG17)-7,'Pay &amp; Allowances'!$M$6,AH16)</f>
        <v>0</v>
      </c>
      <c r="AI17" s="229"/>
      <c r="AJ17" s="388" t="s">
        <v>103</v>
      </c>
      <c r="AK17" s="229"/>
      <c r="AL17" s="240" t="s">
        <v>130</v>
      </c>
      <c r="AM17" s="240">
        <v>9</v>
      </c>
      <c r="AN17" s="24">
        <v>800</v>
      </c>
    </row>
    <row r="18" spans="1:57">
      <c r="A18" s="195">
        <v>2</v>
      </c>
      <c r="B18" s="228" t="s">
        <v>119</v>
      </c>
      <c r="C18" s="230">
        <f>Salary!D21</f>
        <v>0</v>
      </c>
      <c r="D18" s="204">
        <f>IF(AND('Pay &amp; Allowances'!$L$12="YES",'Pay &amp; Allowances'!$N26="YES"),0,IF(AND($C$2="YES",$D$2="YES"),ROUND(($C18+$H18)*53%,0),ROUND($C18*53%,0)))</f>
        <v>0</v>
      </c>
      <c r="E18" s="231">
        <f>IF($E$5="Yes",IF(AND('Pay &amp; Allowances'!$L$12="YES",'Pay &amp; Allowances'!$N26="YES"),0,IF($F$6="Z",ROUND($C18*$E$6,0),IF($F$6="y",ROUND($C18*$E$6,0)))),0)</f>
        <v>0</v>
      </c>
      <c r="F18" s="231"/>
      <c r="G18" s="195">
        <f>IFERROR(IF(AND('Pay &amp; Allowances'!$L$12="YES",'Pay &amp; Allowances'!$N26="YES"),0,IF($G$5="Yes",IF('Pay &amp; Allowances'!$E$12="",0,IF(C18&gt;23100,VLOOKUP($G$6,$R$20:$T$24,2,0),VLOOKUP($G$6,$R$20:$T$24,3,0))),0)),0)</f>
        <v>0</v>
      </c>
      <c r="H18" s="195">
        <f t="shared" si="0"/>
        <v>0</v>
      </c>
      <c r="I18" s="232">
        <f>Salary!L21</f>
        <v>0</v>
      </c>
      <c r="J18" s="233"/>
      <c r="K18" s="233">
        <f>Deductions!O26</f>
        <v>30000</v>
      </c>
      <c r="L18" s="233"/>
      <c r="M18" s="233"/>
      <c r="N18" s="233"/>
      <c r="O18" s="233"/>
      <c r="P18" s="233">
        <f t="shared" si="1"/>
        <v>0</v>
      </c>
      <c r="Q18" s="233" t="str">
        <f t="shared" si="2"/>
        <v>0</v>
      </c>
      <c r="R18" s="233" t="str">
        <f t="shared" si="3"/>
        <v>0</v>
      </c>
      <c r="S18" s="233" t="str">
        <f>IF(AND($G$2="Probationary",'Pay &amp; Allowances'!N26="YES"),VLOOKUP($G$3,$AL$9:$AN$32,3,0),R18)</f>
        <v>0</v>
      </c>
      <c r="T18" s="233">
        <f t="shared" si="4"/>
        <v>7000</v>
      </c>
      <c r="U18" s="24">
        <f>IF(AND('Gen Info'!$C$11="YES",$G$2="NPS"),Master!S18,0)</f>
        <v>0</v>
      </c>
      <c r="Y18" s="257" t="str">
        <f>'Gen Info'!C7</f>
        <v>State Service</v>
      </c>
      <c r="Z18" s="258">
        <f>VLOOKUP('Gen Info'!$F$7,AL9:AM32,2,0)</f>
        <v>16</v>
      </c>
      <c r="AF18" s="24">
        <f t="shared" si="5"/>
        <v>11</v>
      </c>
      <c r="AG18" s="250">
        <v>44136</v>
      </c>
      <c r="AH18" s="229">
        <f>IF($AI$9=ROW(AG18)-7,'Pay &amp; Allowances'!$M$6,AH17)</f>
        <v>0</v>
      </c>
      <c r="AI18" s="229"/>
      <c r="AJ18" s="388" t="s">
        <v>96</v>
      </c>
      <c r="AK18" s="229"/>
      <c r="AL18" s="240" t="s">
        <v>131</v>
      </c>
      <c r="AM18" s="240">
        <v>10</v>
      </c>
      <c r="AN18" s="24">
        <v>1100</v>
      </c>
    </row>
    <row r="19" spans="1:57">
      <c r="A19" s="195">
        <v>3</v>
      </c>
      <c r="B19" s="228" t="s">
        <v>612</v>
      </c>
      <c r="C19" s="230">
        <f>C18</f>
        <v>0</v>
      </c>
      <c r="D19" s="204"/>
      <c r="E19" s="231"/>
      <c r="F19" s="231"/>
      <c r="G19" s="195"/>
      <c r="H19" s="195"/>
      <c r="I19" s="232"/>
      <c r="J19" s="1010" t="s">
        <v>227</v>
      </c>
      <c r="K19" s="1010"/>
      <c r="L19" s="1010"/>
      <c r="M19" s="1011" t="s">
        <v>228</v>
      </c>
      <c r="N19" s="1011"/>
      <c r="O19" s="1011"/>
      <c r="P19" s="204"/>
      <c r="Q19" s="233"/>
      <c r="R19" s="233"/>
      <c r="S19" s="233"/>
      <c r="T19" s="260"/>
      <c r="U19" s="24">
        <f>IF(AND('Gen Info'!$C$11="YES",$G$2="NPS"),Master!S19,0)</f>
        <v>0</v>
      </c>
      <c r="V19" s="1092"/>
      <c r="W19" s="1093"/>
      <c r="AF19" s="24">
        <f t="shared" si="5"/>
        <v>12</v>
      </c>
      <c r="AG19" s="250">
        <v>44166</v>
      </c>
      <c r="AH19" s="229">
        <f>IF($AI$9=ROW(AG19)-7,'Pay &amp; Allowances'!$M$6,AH18)</f>
        <v>0</v>
      </c>
      <c r="AI19" s="229"/>
      <c r="AJ19" s="229"/>
      <c r="AK19" s="229"/>
      <c r="AL19" s="240" t="s">
        <v>132</v>
      </c>
      <c r="AM19" s="240">
        <v>11</v>
      </c>
      <c r="AN19" s="24">
        <v>1100</v>
      </c>
    </row>
    <row r="20" spans="1:57" ht="21">
      <c r="A20" s="195"/>
      <c r="B20" s="228"/>
      <c r="C20" s="1012" t="s">
        <v>225</v>
      </c>
      <c r="D20" s="1012"/>
      <c r="E20" s="1009">
        <f>ROUND(SUM(Salary!D10:D21,Salary!E10:E21,E36),0)</f>
        <v>0</v>
      </c>
      <c r="F20" s="1009"/>
      <c r="G20" s="1009"/>
      <c r="H20" s="261">
        <f>ROUND(HRA!$D$22,0)</f>
        <v>0</v>
      </c>
      <c r="I20" s="204"/>
      <c r="J20" s="374" t="s">
        <v>207</v>
      </c>
      <c r="K20" s="375" t="s">
        <v>208</v>
      </c>
      <c r="L20" s="376" t="str">
        <f>IF(J2="Yes","NPS","GPS")</f>
        <v>GPS</v>
      </c>
      <c r="M20" s="379" t="s">
        <v>207</v>
      </c>
      <c r="N20" s="380" t="s">
        <v>208</v>
      </c>
      <c r="O20" s="381" t="str">
        <f>IF(J2="Yes","NPS","GPF")</f>
        <v>GPF</v>
      </c>
      <c r="P20" s="204"/>
      <c r="Q20" s="259"/>
      <c r="R20" s="262" t="s">
        <v>91</v>
      </c>
      <c r="S20" s="262">
        <v>1000</v>
      </c>
      <c r="T20" s="262">
        <v>620</v>
      </c>
      <c r="U20" s="342"/>
      <c r="V20" s="263"/>
      <c r="W20" s="263"/>
      <c r="AF20" s="24">
        <f t="shared" si="5"/>
        <v>13</v>
      </c>
      <c r="AG20" s="250">
        <v>44197</v>
      </c>
      <c r="AH20" s="229">
        <f>IF($AI$9=ROW(AG20)-7,'Pay &amp; Allowances'!$M$6,AH19)</f>
        <v>0</v>
      </c>
      <c r="AI20" s="229"/>
      <c r="AJ20" s="229"/>
      <c r="AK20" s="229"/>
      <c r="AL20" s="240" t="s">
        <v>133</v>
      </c>
      <c r="AM20" s="240">
        <v>12</v>
      </c>
      <c r="AN20" s="24">
        <v>1400</v>
      </c>
    </row>
    <row r="21" spans="1:57" ht="21">
      <c r="A21" s="264" t="s">
        <v>186</v>
      </c>
      <c r="B21" s="1013" t="s">
        <v>184</v>
      </c>
      <c r="C21" s="1013"/>
      <c r="D21" s="1013"/>
      <c r="E21" s="1009">
        <f>Salary!F30</f>
        <v>0</v>
      </c>
      <c r="F21" s="1009"/>
      <c r="G21" s="1009"/>
      <c r="H21" s="261">
        <f>HRA!E22</f>
        <v>0</v>
      </c>
      <c r="I21" s="261"/>
      <c r="J21" s="377">
        <f>'Pay &amp; Allowances'!C20</f>
        <v>794000</v>
      </c>
      <c r="K21" s="377">
        <f>'Pay &amp; Allowances'!D20</f>
        <v>9447</v>
      </c>
      <c r="L21" s="377">
        <f>'Pay &amp; Allowances'!E20</f>
        <v>0</v>
      </c>
      <c r="M21" s="382">
        <f>'Pay &amp; Allowances'!F20</f>
        <v>0</v>
      </c>
      <c r="N21" s="382">
        <f>'Pay &amp; Allowances'!G20</f>
        <v>0</v>
      </c>
      <c r="O21" s="382">
        <f>'Pay &amp; Allowances'!H20</f>
        <v>0</v>
      </c>
      <c r="P21" s="261"/>
      <c r="Q21" s="259"/>
      <c r="R21" s="262" t="s">
        <v>92</v>
      </c>
      <c r="S21" s="262">
        <v>620</v>
      </c>
      <c r="T21" s="262">
        <v>320</v>
      </c>
      <c r="U21" s="342"/>
      <c r="V21" s="265"/>
      <c r="W21" s="266"/>
      <c r="Z21" s="24" t="s">
        <v>508</v>
      </c>
      <c r="AF21" s="24">
        <f t="shared" si="5"/>
        <v>14</v>
      </c>
      <c r="AG21" s="250">
        <v>44228</v>
      </c>
      <c r="AH21" s="229">
        <f>IF($AI$9=ROW(AG21)-7,'Pay &amp; Allowances'!$M$6,AH20)</f>
        <v>0</v>
      </c>
      <c r="AI21" s="229"/>
      <c r="AJ21" s="229"/>
      <c r="AK21" s="229"/>
      <c r="AL21" s="240" t="s">
        <v>134</v>
      </c>
      <c r="AM21" s="240">
        <v>13</v>
      </c>
      <c r="AN21" s="24">
        <v>1400</v>
      </c>
    </row>
    <row r="22" spans="1:57" ht="21">
      <c r="A22" s="264"/>
      <c r="B22" s="1014" t="s">
        <v>189</v>
      </c>
      <c r="C22" s="1014"/>
      <c r="D22" s="1014"/>
      <c r="E22" s="1009">
        <f>ROUND(E20*10%,0)</f>
        <v>0</v>
      </c>
      <c r="F22" s="1009"/>
      <c r="G22" s="1009"/>
      <c r="H22" s="261">
        <f>ROUND(HRA!$D$22*10%,0)</f>
        <v>0</v>
      </c>
      <c r="I22" s="233"/>
      <c r="J22" s="378"/>
      <c r="K22" s="378"/>
      <c r="L22" s="378" t="s">
        <v>600</v>
      </c>
      <c r="M22" s="383"/>
      <c r="N22" s="384"/>
      <c r="O22" s="386" t="s">
        <v>600</v>
      </c>
      <c r="P22" s="233"/>
      <c r="Q22" s="259" t="s">
        <v>104</v>
      </c>
      <c r="R22" s="262" t="s">
        <v>93</v>
      </c>
      <c r="S22" s="262">
        <v>620</v>
      </c>
      <c r="T22" s="262">
        <v>320</v>
      </c>
      <c r="U22" s="342"/>
      <c r="V22" s="266"/>
      <c r="W22" s="266"/>
      <c r="AG22" s="229"/>
      <c r="AH22" s="229"/>
      <c r="AI22" s="229"/>
      <c r="AJ22" s="229"/>
      <c r="AK22" s="229"/>
      <c r="AL22" s="240" t="s">
        <v>135</v>
      </c>
      <c r="AM22" s="240">
        <v>14</v>
      </c>
      <c r="AN22" s="24">
        <v>1400</v>
      </c>
    </row>
    <row r="23" spans="1:57" ht="21">
      <c r="A23" s="264"/>
      <c r="B23" s="1014" t="s">
        <v>185</v>
      </c>
      <c r="C23" s="1014"/>
      <c r="D23" s="1014"/>
      <c r="E23" s="1009">
        <f>HRA!F5</f>
        <v>300000</v>
      </c>
      <c r="F23" s="1009"/>
      <c r="G23" s="1009"/>
      <c r="H23" s="233">
        <f>HRA!F5</f>
        <v>300000</v>
      </c>
      <c r="I23" s="233"/>
      <c r="J23" s="378"/>
      <c r="K23" s="378"/>
      <c r="L23" s="378">
        <f>IF(AND('Gen Info'!C12="YES",'Gen Info'!C11="YES"),Master!L21,0)</f>
        <v>0</v>
      </c>
      <c r="M23" s="383"/>
      <c r="N23" s="384"/>
      <c r="O23" s="385">
        <f>IF(AND('Gen Info'!C12="YES",'Gen Info'!C11="YES"),Master!O21,0)</f>
        <v>0</v>
      </c>
      <c r="P23" s="233"/>
      <c r="Q23" s="259" t="s">
        <v>105</v>
      </c>
      <c r="R23" s="262" t="s">
        <v>94</v>
      </c>
      <c r="S23" s="262">
        <v>620</v>
      </c>
      <c r="T23" s="262">
        <v>320</v>
      </c>
      <c r="U23" s="342"/>
      <c r="V23" s="266"/>
      <c r="W23" s="266"/>
      <c r="AG23" s="229"/>
      <c r="AH23" s="229"/>
      <c r="AI23" s="229"/>
      <c r="AJ23" s="229"/>
      <c r="AK23" s="229"/>
      <c r="AL23" s="240" t="s">
        <v>136</v>
      </c>
      <c r="AM23" s="240">
        <v>15</v>
      </c>
      <c r="AN23" s="24">
        <v>1800</v>
      </c>
    </row>
    <row r="24" spans="1:57" ht="24" customHeight="1">
      <c r="A24" s="264" t="s">
        <v>187</v>
      </c>
      <c r="B24" s="1006" t="s">
        <v>183</v>
      </c>
      <c r="C24" s="1006"/>
      <c r="D24" s="1006"/>
      <c r="E24" s="1098">
        <f>$E$23-$E$22</f>
        <v>300000</v>
      </c>
      <c r="F24" s="1098"/>
      <c r="G24" s="1098"/>
      <c r="H24" s="233">
        <f>H23-H22</f>
        <v>300000</v>
      </c>
      <c r="I24" s="233"/>
      <c r="J24" s="233"/>
      <c r="K24" s="233"/>
      <c r="L24" s="233"/>
      <c r="M24" s="233"/>
      <c r="N24" s="267"/>
      <c r="O24" s="268"/>
      <c r="P24" s="233"/>
      <c r="Q24" s="259" t="s">
        <v>106</v>
      </c>
      <c r="R24" s="262" t="s">
        <v>95</v>
      </c>
      <c r="S24" s="262">
        <v>620</v>
      </c>
      <c r="T24" s="262">
        <v>320</v>
      </c>
      <c r="U24" s="342"/>
      <c r="V24" s="266"/>
      <c r="W24" s="266"/>
      <c r="AG24" s="229"/>
      <c r="AH24" s="229"/>
      <c r="AI24" s="229"/>
      <c r="AJ24" s="229"/>
      <c r="AK24" s="229"/>
      <c r="AL24" s="240" t="s">
        <v>137</v>
      </c>
      <c r="AM24" s="240">
        <v>16</v>
      </c>
      <c r="AN24" s="24">
        <v>2100</v>
      </c>
    </row>
    <row r="25" spans="1:57" ht="24" customHeight="1">
      <c r="A25" s="264" t="s">
        <v>223</v>
      </c>
      <c r="B25" s="269" t="s">
        <v>224</v>
      </c>
      <c r="C25" s="270" t="str">
        <f>HRA!J9</f>
        <v>NON METRO</v>
      </c>
      <c r="D25" s="269"/>
      <c r="E25" s="1009">
        <f>IF($C$25="METRO",ROUND(E20*50%,0),ROUND(E20*40%,0))</f>
        <v>0</v>
      </c>
      <c r="F25" s="1009"/>
      <c r="G25" s="1009"/>
      <c r="H25" s="261">
        <f>ROUND(HRA!$D$22*40%,0)</f>
        <v>0</v>
      </c>
      <c r="I25" s="233"/>
      <c r="J25" s="233"/>
      <c r="K25" s="233"/>
      <c r="L25" s="233"/>
      <c r="M25" s="233"/>
      <c r="N25" s="267"/>
      <c r="O25" s="268"/>
      <c r="P25" s="233"/>
      <c r="Q25" s="259"/>
      <c r="R25" s="262"/>
      <c r="S25" s="262"/>
      <c r="T25" s="262"/>
      <c r="U25" s="342"/>
      <c r="V25" s="266"/>
      <c r="W25" s="266"/>
      <c r="AG25" s="229"/>
      <c r="AH25" s="229"/>
      <c r="AI25" s="229"/>
      <c r="AJ25" s="229"/>
      <c r="AK25" s="229"/>
      <c r="AL25" s="240" t="s">
        <v>138</v>
      </c>
      <c r="AM25" s="240">
        <v>17</v>
      </c>
      <c r="AN25" s="24">
        <v>2100</v>
      </c>
    </row>
    <row r="26" spans="1:57">
      <c r="A26" s="271"/>
      <c r="B26" s="271"/>
      <c r="C26" s="1056" t="s">
        <v>107</v>
      </c>
      <c r="D26" s="1057"/>
      <c r="E26" s="1007">
        <f>$E$21+$E$22</f>
        <v>0</v>
      </c>
      <c r="F26" s="1008"/>
      <c r="G26" s="1008"/>
      <c r="H26" s="233">
        <f>H22+H21</f>
        <v>0</v>
      </c>
      <c r="I26" s="233"/>
      <c r="J26" s="233"/>
      <c r="K26" s="233"/>
      <c r="L26" s="233"/>
      <c r="M26" s="233"/>
      <c r="N26" s="267"/>
      <c r="O26" s="268"/>
      <c r="P26" s="233"/>
      <c r="Q26" s="259"/>
      <c r="R26" s="1030" t="s">
        <v>511</v>
      </c>
      <c r="S26" s="1031"/>
      <c r="T26" s="1031"/>
      <c r="U26" s="1032"/>
      <c r="V26" s="352"/>
      <c r="W26" s="266"/>
      <c r="AG26" s="229"/>
      <c r="AH26" s="229"/>
      <c r="AI26" s="229"/>
      <c r="AJ26" s="229"/>
      <c r="AK26" s="229"/>
      <c r="AL26" s="240" t="s">
        <v>139</v>
      </c>
      <c r="AM26" s="240">
        <v>18</v>
      </c>
      <c r="AN26" s="24">
        <v>2400</v>
      </c>
    </row>
    <row r="27" spans="1:57">
      <c r="A27" s="271"/>
      <c r="B27" s="271"/>
      <c r="C27" s="1056" t="s">
        <v>100</v>
      </c>
      <c r="D27" s="1057"/>
      <c r="E27" s="1079">
        <f>IF(AND($K$3="YES",$E$24&gt;0),MIN($E$21,$E$24,$E$25),0)</f>
        <v>0</v>
      </c>
      <c r="F27" s="1080"/>
      <c r="G27" s="1081"/>
      <c r="H27" s="272">
        <f>IF(AND(K3="YES",$H$24&gt;0),MIN($H$21,$H$24,$H$25),0)</f>
        <v>0</v>
      </c>
      <c r="I27" s="273"/>
      <c r="J27" s="273"/>
      <c r="K27" s="233"/>
      <c r="L27" s="233"/>
      <c r="M27" s="233"/>
      <c r="N27" s="267"/>
      <c r="O27" s="267"/>
      <c r="P27" s="233"/>
      <c r="Q27" s="1027" t="s">
        <v>510</v>
      </c>
      <c r="R27" s="1028"/>
      <c r="S27" s="1029"/>
      <c r="T27" s="353">
        <f>H61+H62+H63+H64+H65+H66+H67+H68+H69+P62+P63+P64+P65+P66+P67+P68+P69+R72</f>
        <v>185728</v>
      </c>
      <c r="U27" s="259"/>
      <c r="V27" s="352"/>
      <c r="W27" s="266"/>
      <c r="AG27" s="229"/>
      <c r="AH27" s="229"/>
      <c r="AI27" s="229"/>
      <c r="AJ27" s="229"/>
      <c r="AK27" s="229"/>
      <c r="AL27" s="240" t="s">
        <v>140</v>
      </c>
      <c r="AM27" s="240">
        <v>19</v>
      </c>
      <c r="AN27" s="24">
        <v>2400</v>
      </c>
    </row>
    <row r="28" spans="1:57" ht="15.6">
      <c r="A28" s="202"/>
      <c r="B28" s="275" t="str">
        <f>IF('Gen Info'!C12="Yes","NPS","OPS")</f>
        <v>OPS</v>
      </c>
      <c r="C28" s="1069" t="s">
        <v>158</v>
      </c>
      <c r="D28" s="1069"/>
      <c r="E28" s="1069"/>
      <c r="F28" s="1069"/>
      <c r="G28" s="1069"/>
      <c r="H28" s="611" t="s">
        <v>943</v>
      </c>
      <c r="I28" s="611"/>
      <c r="J28" s="611" t="s">
        <v>451</v>
      </c>
      <c r="K28" s="612">
        <f>IF('Pay &amp; Allowances'!G9="YES",'Pay &amp; Allowances'!I9,"")</f>
        <v>10</v>
      </c>
      <c r="L28" s="1078" t="s">
        <v>460</v>
      </c>
      <c r="M28" s="1078"/>
      <c r="N28" s="267"/>
      <c r="O28" s="267"/>
      <c r="P28" s="233"/>
      <c r="Q28" s="1027" t="s">
        <v>517</v>
      </c>
      <c r="R28" s="1028"/>
      <c r="S28" s="1029"/>
      <c r="T28" s="353">
        <f>IF(Deductions!K10&gt;50000,50000,Deductions!K10)</f>
        <v>0</v>
      </c>
      <c r="U28" s="355"/>
      <c r="AG28" s="229"/>
      <c r="AH28" s="229"/>
      <c r="AI28" s="229"/>
      <c r="AJ28" s="229"/>
      <c r="AK28" s="229"/>
      <c r="AL28" s="240" t="s">
        <v>141</v>
      </c>
      <c r="AM28" s="240">
        <v>20</v>
      </c>
      <c r="AN28" s="24">
        <v>3000</v>
      </c>
    </row>
    <row r="29" spans="1:57" ht="15.6">
      <c r="A29" s="202"/>
      <c r="B29" s="275"/>
      <c r="C29" s="228" t="s">
        <v>160</v>
      </c>
      <c r="D29" s="228" t="s">
        <v>161</v>
      </c>
      <c r="E29" s="276" t="s">
        <v>986</v>
      </c>
      <c r="F29" s="276" t="s">
        <v>916</v>
      </c>
      <c r="G29" s="276"/>
      <c r="H29" s="613" t="s">
        <v>161</v>
      </c>
      <c r="I29" s="614" t="s">
        <v>988</v>
      </c>
      <c r="J29" s="614"/>
      <c r="K29" s="614" t="s">
        <v>460</v>
      </c>
      <c r="L29" s="276" t="s">
        <v>928</v>
      </c>
      <c r="M29" s="276" t="s">
        <v>159</v>
      </c>
      <c r="N29" s="267" t="s">
        <v>599</v>
      </c>
      <c r="O29" s="267" t="s">
        <v>657</v>
      </c>
      <c r="P29" s="233"/>
      <c r="Q29" s="259" t="s">
        <v>512</v>
      </c>
      <c r="R29" s="353">
        <f>R72</f>
        <v>0</v>
      </c>
      <c r="S29" s="354" t="s">
        <v>513</v>
      </c>
      <c r="T29" s="353">
        <f>IF(G2="OPS",0,IF(T27&gt;150000,T27-150000,0))</f>
        <v>35728</v>
      </c>
      <c r="U29" s="356"/>
      <c r="AG29" s="229"/>
      <c r="AH29" s="229"/>
      <c r="AI29" s="229"/>
      <c r="AJ29" s="229"/>
      <c r="AK29" s="229"/>
      <c r="AL29" s="240" t="s">
        <v>142</v>
      </c>
      <c r="AM29" s="240">
        <v>21</v>
      </c>
      <c r="AN29" s="24">
        <v>3000</v>
      </c>
      <c r="BE29" s="346">
        <v>4</v>
      </c>
    </row>
    <row r="30" spans="1:57">
      <c r="A30" s="202"/>
      <c r="B30" s="202">
        <v>7</v>
      </c>
      <c r="C30" s="274">
        <v>45474</v>
      </c>
      <c r="D30" s="259">
        <f>C11</f>
        <v>0</v>
      </c>
      <c r="E30" s="259">
        <f>IF(AND($C$2="YES",$D$2="YES"),ROUND(($D30+$F30)*53%,0)-ROUND(($D30+$F30)*50%,0),ROUND($D30*53%,0)-ROUND($D30*50%,0))</f>
        <v>0</v>
      </c>
      <c r="F30" s="259">
        <f>IF(AND($C$2="YES",$D$2="YES"),ROUND(D30*20%,0),0)</f>
        <v>0</v>
      </c>
      <c r="G30" s="259"/>
      <c r="H30" s="233">
        <f>IF($K$28=B30,ROUND(D30/2,0),0)</f>
        <v>0</v>
      </c>
      <c r="I30" s="233">
        <f>ROUND(H30*3%,0)</f>
        <v>0</v>
      </c>
      <c r="J30" s="233"/>
      <c r="K30" s="233">
        <f>E30+I30</f>
        <v>0</v>
      </c>
      <c r="L30" s="233">
        <f>K30</f>
        <v>0</v>
      </c>
      <c r="M30" s="233">
        <v>0</v>
      </c>
      <c r="N30" s="267">
        <f>IF(AND('Gen Info'!$C$12="YES",'Gen Info'!$C$11="YES"),Master!L30,0)</f>
        <v>0</v>
      </c>
      <c r="O30" s="267">
        <f>IF($G$2="NPS",K30-L30,0)</f>
        <v>0</v>
      </c>
      <c r="P30" s="233"/>
      <c r="Q30" s="259"/>
      <c r="R30" s="1027" t="s">
        <v>515</v>
      </c>
      <c r="S30" s="1029"/>
      <c r="T30" s="353">
        <f>IFERROR(SUM(R29)-Deductions!Q32,0)</f>
        <v>0</v>
      </c>
      <c r="U30" s="259"/>
      <c r="AG30" s="229"/>
      <c r="AH30" s="229"/>
      <c r="AI30" s="229"/>
      <c r="AJ30" s="229"/>
      <c r="AK30" s="229"/>
      <c r="AL30" s="240" t="s">
        <v>143</v>
      </c>
      <c r="AM30" s="240">
        <v>22</v>
      </c>
      <c r="AN30" s="24">
        <v>4500</v>
      </c>
    </row>
    <row r="31" spans="1:57">
      <c r="A31" s="202"/>
      <c r="B31" s="202">
        <v>8</v>
      </c>
      <c r="C31" s="274">
        <v>45505</v>
      </c>
      <c r="D31" s="259">
        <f>C12</f>
        <v>0</v>
      </c>
      <c r="E31" s="259">
        <f t="shared" ref="E31:E33" si="6">IF(AND($C$2="YES",$D$2="YES"),ROUND(($D31+$F31)*53%,0)-ROUND(($D31+$F31)*50%,0),ROUND($D31*53%,0)-ROUND($D31*50%,0))</f>
        <v>0</v>
      </c>
      <c r="F31" s="259">
        <f>IF(AND($C$2="YES",$D$2="YES"),ROUND(D31*20%,0),0)</f>
        <v>0</v>
      </c>
      <c r="G31" s="259"/>
      <c r="H31" s="233">
        <f t="shared" ref="H31:H38" si="7">IF($K$28=B31,ROUND(D31/2,0),0)</f>
        <v>0</v>
      </c>
      <c r="I31" s="233">
        <f t="shared" ref="I31:I33" si="8">ROUND(H31*3%,0)</f>
        <v>0</v>
      </c>
      <c r="J31" s="233"/>
      <c r="K31" s="233">
        <f>E31+I31</f>
        <v>0</v>
      </c>
      <c r="L31" s="233">
        <f t="shared" ref="L31:L33" si="9">K31</f>
        <v>0</v>
      </c>
      <c r="M31" s="233">
        <v>0</v>
      </c>
      <c r="N31" s="267">
        <f>IF(AND('Gen Info'!$C$12="YES",'Gen Info'!$C$11="YES"),Master!L31,0)</f>
        <v>0</v>
      </c>
      <c r="O31" s="267">
        <f>IF($G$2="NPS",K31-L31,0)</f>
        <v>0</v>
      </c>
      <c r="P31" s="233"/>
      <c r="Q31" s="259">
        <f>IF(N31="YES",Master!T31,0)</f>
        <v>0</v>
      </c>
      <c r="R31" s="1064" t="s">
        <v>516</v>
      </c>
      <c r="S31" s="1065"/>
      <c r="T31" s="353">
        <f>IF(OR('Gen Info'!C12="NO",T27&lt;150000),0,IF(R29&gt;=T29,MIN((50000-T28),T29),MIN(R29,50000-T28)))</f>
        <v>0</v>
      </c>
      <c r="U31" s="259"/>
      <c r="W31" s="24" t="s">
        <v>520</v>
      </c>
      <c r="AG31" s="229"/>
      <c r="AH31" s="229"/>
      <c r="AI31" s="229"/>
      <c r="AJ31" s="229"/>
      <c r="AK31" s="229"/>
      <c r="AL31" s="240" t="s">
        <v>144</v>
      </c>
      <c r="AM31" s="240">
        <v>23</v>
      </c>
      <c r="AN31" s="24">
        <v>4500</v>
      </c>
    </row>
    <row r="32" spans="1:57">
      <c r="A32" s="202"/>
      <c r="B32" s="202">
        <v>9</v>
      </c>
      <c r="C32" s="274">
        <v>45536</v>
      </c>
      <c r="D32" s="259">
        <f>C13</f>
        <v>0</v>
      </c>
      <c r="E32" s="259">
        <f t="shared" si="6"/>
        <v>0</v>
      </c>
      <c r="F32" s="259">
        <f>IF(AND($C$2="YES",$D$2="YES"),ROUND(D32*20%,0),0)</f>
        <v>0</v>
      </c>
      <c r="G32" s="259"/>
      <c r="H32" s="233">
        <f t="shared" si="7"/>
        <v>0</v>
      </c>
      <c r="I32" s="233">
        <f t="shared" si="8"/>
        <v>0</v>
      </c>
      <c r="J32" s="233"/>
      <c r="K32" s="233">
        <f>E32+I32</f>
        <v>0</v>
      </c>
      <c r="L32" s="233">
        <f t="shared" si="9"/>
        <v>0</v>
      </c>
      <c r="M32" s="233">
        <v>0</v>
      </c>
      <c r="N32" s="267">
        <f>IF(AND('Gen Info'!$C$12="YES",'Gen Info'!$C$11="YES"),Master!L32,0)</f>
        <v>0</v>
      </c>
      <c r="O32" s="267">
        <f>IF($G$2="NPS",K32-L32,0)</f>
        <v>0</v>
      </c>
      <c r="P32" s="233"/>
      <c r="Q32" s="259"/>
      <c r="R32" s="259"/>
      <c r="S32" s="259"/>
      <c r="T32" s="259"/>
      <c r="U32" s="259"/>
      <c r="AG32" s="229"/>
      <c r="AH32" s="229"/>
      <c r="AI32" s="229"/>
      <c r="AJ32" s="229"/>
      <c r="AK32" s="229"/>
      <c r="AL32" s="240" t="s">
        <v>145</v>
      </c>
      <c r="AM32" s="240">
        <v>24</v>
      </c>
      <c r="AN32" s="24">
        <v>5000</v>
      </c>
    </row>
    <row r="33" spans="1:22">
      <c r="A33" s="202"/>
      <c r="B33" s="202">
        <v>10</v>
      </c>
      <c r="C33" s="274">
        <v>45566</v>
      </c>
      <c r="D33" s="259">
        <f>C14</f>
        <v>0</v>
      </c>
      <c r="E33" s="259">
        <f t="shared" si="6"/>
        <v>0</v>
      </c>
      <c r="F33" s="259">
        <f>IF(AND($C$2="YES",$D$2="YES"),ROUND(D33*20%,0),0)</f>
        <v>0</v>
      </c>
      <c r="G33" s="259"/>
      <c r="H33" s="233">
        <f>IF($K$28=B33,ROUND(D33/2,0),0)</f>
        <v>0</v>
      </c>
      <c r="I33" s="233">
        <f t="shared" si="8"/>
        <v>0</v>
      </c>
      <c r="J33" s="233"/>
      <c r="K33" s="233">
        <f>E33+I33</f>
        <v>0</v>
      </c>
      <c r="L33" s="233">
        <f t="shared" si="9"/>
        <v>0</v>
      </c>
      <c r="M33" s="233">
        <v>1</v>
      </c>
      <c r="N33" s="267">
        <f>IF(AND('Gen Info'!$C$12="YES",'Gen Info'!$C$11="YES"),Master!L33,0)</f>
        <v>0</v>
      </c>
      <c r="O33" s="267">
        <f>IF($G$2="NPS",K33-L33,0)</f>
        <v>0</v>
      </c>
      <c r="P33" s="233"/>
      <c r="Q33" s="259"/>
      <c r="R33" s="259"/>
      <c r="S33" s="259"/>
      <c r="T33" s="259"/>
      <c r="U33" s="259"/>
    </row>
    <row r="34" spans="1:22">
      <c r="A34" s="202"/>
      <c r="B34" s="202">
        <v>11</v>
      </c>
      <c r="C34" s="274"/>
      <c r="D34" s="259"/>
      <c r="E34" s="259"/>
      <c r="F34" s="259"/>
      <c r="G34" s="259"/>
      <c r="H34" s="233"/>
      <c r="I34" s="233"/>
      <c r="J34" s="233"/>
      <c r="K34" s="233"/>
      <c r="L34" s="233"/>
      <c r="M34" s="233"/>
      <c r="N34" s="267"/>
      <c r="O34" s="267"/>
      <c r="P34" s="233"/>
      <c r="Q34" s="259"/>
      <c r="R34" s="259"/>
      <c r="S34" s="259"/>
      <c r="T34" s="259"/>
      <c r="U34" s="259"/>
    </row>
    <row r="35" spans="1:22">
      <c r="A35" s="202"/>
      <c r="B35" s="202">
        <v>12</v>
      </c>
      <c r="C35" s="274"/>
      <c r="D35" s="259"/>
      <c r="E35" s="259"/>
      <c r="F35" s="259"/>
      <c r="G35" s="259"/>
      <c r="H35" s="233"/>
      <c r="I35" s="233"/>
      <c r="J35" s="233"/>
      <c r="K35" s="233"/>
      <c r="L35" s="233"/>
      <c r="M35" s="233"/>
      <c r="N35" s="267"/>
      <c r="O35" s="202"/>
      <c r="P35" s="202"/>
      <c r="Q35" s="202"/>
      <c r="R35" s="202"/>
      <c r="S35" s="202"/>
      <c r="T35" s="202"/>
    </row>
    <row r="36" spans="1:22">
      <c r="A36" s="202"/>
      <c r="B36" s="202"/>
      <c r="C36" s="228" t="s">
        <v>987</v>
      </c>
      <c r="D36" s="228"/>
      <c r="E36" s="228">
        <f>SUM(E30:E35)</f>
        <v>0</v>
      </c>
      <c r="F36" s="228">
        <f>SUM(F30:F35)</f>
        <v>0</v>
      </c>
      <c r="G36" s="228"/>
      <c r="H36" s="228">
        <f>SUM(H30:H35)</f>
        <v>0</v>
      </c>
      <c r="I36" s="228">
        <f>SUM(I30:I35)</f>
        <v>0</v>
      </c>
      <c r="J36" s="228"/>
      <c r="K36" s="228">
        <f>SUM(K30:K35)</f>
        <v>0</v>
      </c>
      <c r="L36" s="228">
        <f>SUM(L30:L35)</f>
        <v>0</v>
      </c>
      <c r="M36" s="228">
        <f>SUM(M30:M35)</f>
        <v>1</v>
      </c>
      <c r="N36" s="228">
        <f>SUM(N30:N35)</f>
        <v>0</v>
      </c>
      <c r="O36" s="228">
        <f>SUM(O30:O35)</f>
        <v>0</v>
      </c>
      <c r="P36" s="202"/>
      <c r="Q36" s="202"/>
      <c r="R36" s="202"/>
      <c r="S36" s="202"/>
      <c r="T36" s="202"/>
    </row>
    <row r="37" spans="1:22">
      <c r="A37" s="202"/>
      <c r="B37" s="202">
        <v>1</v>
      </c>
      <c r="C37" s="274">
        <v>45292</v>
      </c>
      <c r="D37" s="259">
        <f>C7</f>
        <v>0</v>
      </c>
      <c r="E37" s="259">
        <f>IF(AND($C$2="YES",$D$2="YES"),ROUND(($D37+$F37)*50%,0)-ROUND(($D37+$F37)*46%,0),ROUND($D37*50%,0)-ROUND($D37*46%,0))</f>
        <v>0</v>
      </c>
      <c r="F37" s="259"/>
      <c r="G37" s="259"/>
      <c r="H37" s="233">
        <f t="shared" si="7"/>
        <v>0</v>
      </c>
      <c r="I37" s="233">
        <f>ROUND(H37*5%,0)</f>
        <v>0</v>
      </c>
      <c r="J37" s="233"/>
      <c r="K37" s="233">
        <f>E37+I37</f>
        <v>0</v>
      </c>
      <c r="L37" s="233">
        <f>K37</f>
        <v>0</v>
      </c>
      <c r="M37" s="233">
        <f>K37-L37</f>
        <v>0</v>
      </c>
      <c r="N37" s="202">
        <f>IF(AND('Gen Info'!$C$12="YES",'Gen Info'!$C$11="YES"),Master!L37,0)</f>
        <v>0</v>
      </c>
      <c r="O37" s="202"/>
      <c r="P37" s="202"/>
      <c r="Q37" s="202"/>
      <c r="R37" s="202"/>
      <c r="S37" s="202"/>
      <c r="T37" s="202"/>
    </row>
    <row r="38" spans="1:22">
      <c r="A38" s="202"/>
      <c r="B38" s="202">
        <v>2</v>
      </c>
      <c r="C38" s="274">
        <v>45323</v>
      </c>
      <c r="D38" s="259">
        <f>D37</f>
        <v>0</v>
      </c>
      <c r="E38" s="259">
        <f t="shared" ref="E38" si="10">IF(AND($C$2="YES",$D$2="YES"),ROUND(($D38+$F38)*50%,0)-ROUND(($D38+$F38)*46%,0),ROUND($D38*50%,0)-ROUND($D38*46%,0))</f>
        <v>0</v>
      </c>
      <c r="F38" s="259"/>
      <c r="G38" s="259"/>
      <c r="H38" s="233">
        <f t="shared" si="7"/>
        <v>0</v>
      </c>
      <c r="I38" s="233">
        <f>ROUND(H38*5%,0)</f>
        <v>0</v>
      </c>
      <c r="J38" s="233"/>
      <c r="K38" s="233">
        <f>E38+I38</f>
        <v>0</v>
      </c>
      <c r="L38" s="233">
        <f>K38</f>
        <v>0</v>
      </c>
      <c r="M38" s="233">
        <f>K38-L38</f>
        <v>0</v>
      </c>
      <c r="N38" s="202">
        <f>IF(AND('Gen Info'!$C$12="YES",'Gen Info'!$C$11="YES"),Master!L38,0)</f>
        <v>0</v>
      </c>
      <c r="O38" s="202"/>
      <c r="P38" s="202"/>
      <c r="Q38" s="202"/>
      <c r="R38" s="202" t="s">
        <v>168</v>
      </c>
      <c r="S38" s="202" t="s">
        <v>169</v>
      </c>
      <c r="T38" s="202"/>
    </row>
    <row r="39" spans="1:22">
      <c r="A39" s="202"/>
      <c r="B39" s="202">
        <v>3</v>
      </c>
      <c r="C39" s="274">
        <v>45352</v>
      </c>
      <c r="D39" s="259"/>
      <c r="E39" s="259"/>
      <c r="F39" s="259"/>
      <c r="G39" s="259"/>
      <c r="H39" s="233"/>
      <c r="I39" s="233"/>
      <c r="J39" s="233"/>
      <c r="K39" s="233">
        <f>E39+I39</f>
        <v>0</v>
      </c>
      <c r="L39" s="233">
        <f t="shared" ref="L39" si="11">IF($B$28="OPS",K39,ROUND(K39*10%,0))</f>
        <v>0</v>
      </c>
      <c r="M39" s="233">
        <f>K39-L39</f>
        <v>0</v>
      </c>
      <c r="N39" s="202"/>
      <c r="O39" s="202"/>
      <c r="P39" s="202"/>
      <c r="Q39" s="202"/>
      <c r="R39" s="202"/>
      <c r="S39" s="202"/>
      <c r="T39" s="202"/>
    </row>
    <row r="40" spans="1:22">
      <c r="A40" s="202"/>
      <c r="B40" s="202"/>
      <c r="C40" s="228" t="s">
        <v>974</v>
      </c>
      <c r="D40" s="228"/>
      <c r="E40" s="228">
        <f>SUM(E37:E39)</f>
        <v>0</v>
      </c>
      <c r="F40" s="228">
        <f t="shared" ref="F40:O40" si="12">SUM(F37:F39)</f>
        <v>0</v>
      </c>
      <c r="G40" s="228">
        <f t="shared" si="12"/>
        <v>0</v>
      </c>
      <c r="H40" s="228">
        <f t="shared" si="12"/>
        <v>0</v>
      </c>
      <c r="I40" s="228">
        <f t="shared" si="12"/>
        <v>0</v>
      </c>
      <c r="J40" s="228">
        <f t="shared" si="12"/>
        <v>0</v>
      </c>
      <c r="K40" s="228">
        <f t="shared" si="12"/>
        <v>0</v>
      </c>
      <c r="L40" s="228">
        <f t="shared" si="12"/>
        <v>0</v>
      </c>
      <c r="M40" s="228">
        <f t="shared" si="12"/>
        <v>0</v>
      </c>
      <c r="N40" s="228">
        <f t="shared" si="12"/>
        <v>0</v>
      </c>
      <c r="O40" s="228">
        <f t="shared" si="12"/>
        <v>0</v>
      </c>
      <c r="P40" s="202"/>
      <c r="Q40" s="202"/>
      <c r="R40" s="202"/>
      <c r="S40" s="202"/>
      <c r="T40" s="202"/>
      <c r="V40" s="277"/>
    </row>
    <row r="41" spans="1:22" ht="21.6" thickBot="1">
      <c r="A41" s="1068" t="s">
        <v>991</v>
      </c>
      <c r="B41" s="1068"/>
      <c r="C41" s="1068"/>
      <c r="D41" s="1068"/>
      <c r="E41" s="1068"/>
      <c r="F41" s="1068"/>
      <c r="G41" s="1068"/>
      <c r="H41" s="1068"/>
      <c r="I41" s="1068"/>
      <c r="J41" s="1068"/>
      <c r="K41" s="1068"/>
      <c r="L41" s="1068"/>
      <c r="M41" s="1068"/>
      <c r="N41" s="1068"/>
      <c r="O41" s="1068"/>
      <c r="P41" s="1068"/>
      <c r="Q41" s="278" t="e">
        <f>#REF!</f>
        <v>#REF!</v>
      </c>
      <c r="R41" s="279" t="s">
        <v>167</v>
      </c>
      <c r="S41" s="280" t="s">
        <v>166</v>
      </c>
      <c r="T41" s="281"/>
      <c r="U41" s="281"/>
      <c r="V41" s="277"/>
    </row>
    <row r="42" spans="1:22" ht="15.6">
      <c r="A42" s="282">
        <v>1</v>
      </c>
      <c r="B42" s="1066" t="s">
        <v>8</v>
      </c>
      <c r="C42" s="1067"/>
      <c r="D42" s="283"/>
      <c r="E42" s="283"/>
      <c r="F42" s="283"/>
      <c r="G42" s="283"/>
      <c r="H42" s="283"/>
      <c r="I42" s="283"/>
      <c r="J42" s="284" t="s">
        <v>9</v>
      </c>
      <c r="K42" s="285"/>
      <c r="L42" s="285"/>
      <c r="M42" s="285"/>
      <c r="N42" s="285"/>
      <c r="O42" s="285"/>
      <c r="P42" s="286" t="s">
        <v>10</v>
      </c>
      <c r="Q42" s="1076">
        <f>Deductions!L24</f>
        <v>0</v>
      </c>
      <c r="R42" s="1077"/>
      <c r="S42" s="287"/>
      <c r="T42" s="277"/>
      <c r="U42" s="277"/>
      <c r="V42" s="277"/>
    </row>
    <row r="43" spans="1:22" ht="15.6">
      <c r="A43" s="288">
        <v>2</v>
      </c>
      <c r="B43" s="1063" t="s">
        <v>990</v>
      </c>
      <c r="C43" s="1063"/>
      <c r="D43" s="964"/>
      <c r="E43" s="964"/>
      <c r="F43" s="964"/>
      <c r="G43" s="964"/>
      <c r="H43" s="964"/>
      <c r="I43" s="964"/>
      <c r="J43" s="1063"/>
      <c r="K43" s="964"/>
      <c r="L43" s="964"/>
      <c r="M43" s="964"/>
      <c r="N43" s="964"/>
      <c r="O43" s="964"/>
      <c r="P43" s="1063"/>
      <c r="Q43" s="289" t="s">
        <v>11</v>
      </c>
      <c r="R43" s="290">
        <f>IF('Gen Info'!$C$12="NO",SUM(Salary!$L$30,$U$4),IF(AND('Gen Info'!$C$12="YES",'Gen Info'!C11="YES"),SUM(Salary!$L$30,$U$4),SUM(Salary!$L$30,Salary!$M$30,$U$4)))</f>
        <v>794000</v>
      </c>
      <c r="S43" s="291">
        <f>IF('Gen Info'!$C$12="NO",SUM(Salary!$L$30,$U$4),IF(AND('Gen Info'!$C$12="YES",'Gen Info'!D11="YES"),SUM(Salary!$L$30,$U$4),SUM(Salary!$L$30,Salary!$M$30,$U$4)))</f>
        <v>794000</v>
      </c>
      <c r="T43" s="292"/>
      <c r="U43" s="292"/>
      <c r="V43" s="277"/>
    </row>
    <row r="44" spans="1:22" ht="15.6">
      <c r="A44" s="288"/>
      <c r="B44" s="841" t="s">
        <v>882</v>
      </c>
      <c r="C44" s="842"/>
      <c r="D44" s="842"/>
      <c r="E44" s="843"/>
      <c r="F44" s="1050">
        <f>'Pay &amp; Allowances'!I14</f>
        <v>0</v>
      </c>
      <c r="G44" s="1052"/>
      <c r="H44" s="841" t="s">
        <v>883</v>
      </c>
      <c r="I44" s="842"/>
      <c r="J44" s="842"/>
      <c r="K44" s="843"/>
      <c r="L44" s="1050">
        <f>'Pay &amp; Allowances'!I15</f>
        <v>0</v>
      </c>
      <c r="M44" s="1052"/>
      <c r="N44" s="562"/>
      <c r="O44" s="1050" t="s">
        <v>884</v>
      </c>
      <c r="P44" s="1052"/>
      <c r="Q44" s="289"/>
      <c r="R44" s="290">
        <f>R43+F44+L44</f>
        <v>794000</v>
      </c>
      <c r="S44" s="563">
        <f>S43+F44+L44</f>
        <v>794000</v>
      </c>
      <c r="T44" s="292"/>
      <c r="U44" s="292"/>
      <c r="V44" s="277"/>
    </row>
    <row r="45" spans="1:22" ht="15.6">
      <c r="A45" s="288">
        <v>3</v>
      </c>
      <c r="B45" s="964" t="s">
        <v>12</v>
      </c>
      <c r="C45" s="964"/>
      <c r="D45" s="964"/>
      <c r="E45" s="964"/>
      <c r="F45" s="964"/>
      <c r="G45" s="964"/>
      <c r="H45" s="964"/>
      <c r="I45" s="964"/>
      <c r="J45" s="964"/>
      <c r="K45" s="964"/>
      <c r="L45" s="964"/>
      <c r="M45" s="964"/>
      <c r="N45" s="964"/>
      <c r="O45" s="964"/>
      <c r="P45" s="964"/>
      <c r="Q45" s="289" t="s">
        <v>11</v>
      </c>
      <c r="R45" s="293">
        <f>-SUM(HRA!$J$5,'Pay &amp; Allowances'!$H$12)</f>
        <v>0</v>
      </c>
      <c r="S45" s="287">
        <v>0</v>
      </c>
      <c r="T45" s="277"/>
      <c r="U45" s="277"/>
      <c r="V45" s="277"/>
    </row>
    <row r="46" spans="1:22" ht="15.6">
      <c r="A46" s="288">
        <v>4</v>
      </c>
      <c r="B46" s="965" t="s">
        <v>13</v>
      </c>
      <c r="C46" s="965"/>
      <c r="D46" s="965"/>
      <c r="E46" s="965"/>
      <c r="F46" s="965"/>
      <c r="G46" s="965"/>
      <c r="H46" s="965"/>
      <c r="I46" s="965"/>
      <c r="J46" s="965"/>
      <c r="K46" s="965"/>
      <c r="L46" s="965"/>
      <c r="M46" s="965"/>
      <c r="N46" s="965"/>
      <c r="O46" s="965"/>
      <c r="P46" s="965"/>
      <c r="Q46" s="289" t="s">
        <v>11</v>
      </c>
      <c r="R46" s="293">
        <f>$R$44+$R$45</f>
        <v>794000</v>
      </c>
      <c r="S46" s="293">
        <f>$S$44+$S$45</f>
        <v>794000</v>
      </c>
      <c r="T46" s="277"/>
      <c r="U46" s="277"/>
      <c r="V46" s="277"/>
    </row>
    <row r="47" spans="1:22" ht="15.6">
      <c r="A47" s="1087">
        <v>5</v>
      </c>
      <c r="B47" s="1070" t="s">
        <v>14</v>
      </c>
      <c r="C47" s="1071"/>
      <c r="D47" s="1071"/>
      <c r="E47" s="1071"/>
      <c r="F47" s="1071"/>
      <c r="G47" s="1071"/>
      <c r="H47" s="1071"/>
      <c r="I47" s="1071"/>
      <c r="J47" s="1071"/>
      <c r="K47" s="1071"/>
      <c r="L47" s="294"/>
      <c r="M47" s="294"/>
      <c r="N47" s="1045">
        <f>IF('Pay &amp; Allowances'!$I$12&gt;5000,5000,'Pay &amp; Allowances'!$I$12)</f>
        <v>0</v>
      </c>
      <c r="O47" s="1045"/>
      <c r="P47" s="1045"/>
      <c r="Q47" s="1033"/>
      <c r="R47" s="1034"/>
      <c r="S47" s="287">
        <v>0</v>
      </c>
      <c r="T47" s="277"/>
      <c r="U47" s="277"/>
      <c r="V47" s="277"/>
    </row>
    <row r="48" spans="1:22" ht="15.6">
      <c r="A48" s="1088"/>
      <c r="B48" s="1070" t="s">
        <v>15</v>
      </c>
      <c r="C48" s="1071"/>
      <c r="D48" s="1071"/>
      <c r="E48" s="1071"/>
      <c r="F48" s="1071"/>
      <c r="G48" s="1071"/>
      <c r="H48" s="1071"/>
      <c r="I48" s="1071"/>
      <c r="J48" s="1071"/>
      <c r="K48" s="1071"/>
      <c r="L48" s="294"/>
      <c r="M48" s="294"/>
      <c r="N48" s="1045">
        <f>'Pay &amp; Allowances'!J12</f>
        <v>0</v>
      </c>
      <c r="O48" s="1045"/>
      <c r="P48" s="1045"/>
      <c r="Q48" s="1035"/>
      <c r="R48" s="1036"/>
      <c r="S48" s="287">
        <v>0</v>
      </c>
      <c r="T48" s="277"/>
      <c r="U48" s="277"/>
      <c r="V48" s="277"/>
    </row>
    <row r="49" spans="1:22" ht="15.6">
      <c r="A49" s="1089"/>
      <c r="B49" s="1070" t="s">
        <v>16</v>
      </c>
      <c r="C49" s="1071"/>
      <c r="D49" s="1071"/>
      <c r="E49" s="1071"/>
      <c r="F49" s="1071"/>
      <c r="G49" s="1071"/>
      <c r="H49" s="1071"/>
      <c r="I49" s="1071"/>
      <c r="J49" s="1071"/>
      <c r="K49" s="1071"/>
      <c r="L49" s="294"/>
      <c r="M49" s="294"/>
      <c r="N49" s="1045">
        <f>MIN(R46,50000)</f>
        <v>50000</v>
      </c>
      <c r="O49" s="1045"/>
      <c r="P49" s="1045"/>
      <c r="Q49" s="289" t="s">
        <v>11</v>
      </c>
      <c r="R49" s="293">
        <f>-SUM(N47:P49)</f>
        <v>-50000</v>
      </c>
      <c r="S49" s="293">
        <f>MIN(S46,75000)</f>
        <v>75000</v>
      </c>
      <c r="T49" s="277"/>
      <c r="U49" s="277"/>
      <c r="V49" s="277"/>
    </row>
    <row r="50" spans="1:22" ht="15.6">
      <c r="A50" s="288">
        <v>6</v>
      </c>
      <c r="B50" s="961" t="s">
        <v>17</v>
      </c>
      <c r="C50" s="961"/>
      <c r="D50" s="961"/>
      <c r="E50" s="961"/>
      <c r="F50" s="961"/>
      <c r="G50" s="961"/>
      <c r="H50" s="961"/>
      <c r="I50" s="961"/>
      <c r="J50" s="961"/>
      <c r="K50" s="961"/>
      <c r="L50" s="961"/>
      <c r="M50" s="961"/>
      <c r="N50" s="961"/>
      <c r="O50" s="961"/>
      <c r="P50" s="961"/>
      <c r="Q50" s="289" t="s">
        <v>11</v>
      </c>
      <c r="R50" s="293">
        <f>R46+R49</f>
        <v>744000</v>
      </c>
      <c r="S50" s="287">
        <f>S46-S47-S48-S49</f>
        <v>719000</v>
      </c>
      <c r="T50" s="277"/>
      <c r="U50" s="277"/>
      <c r="V50" s="277"/>
    </row>
    <row r="51" spans="1:22" ht="15.6">
      <c r="A51" s="1090">
        <v>7</v>
      </c>
      <c r="B51" s="964" t="s">
        <v>18</v>
      </c>
      <c r="C51" s="964"/>
      <c r="D51" s="964"/>
      <c r="E51" s="964"/>
      <c r="F51" s="964"/>
      <c r="G51" s="964"/>
      <c r="H51" s="964"/>
      <c r="I51" s="964"/>
      <c r="J51" s="961" t="s">
        <v>19</v>
      </c>
      <c r="K51" s="961"/>
      <c r="L51" s="295"/>
      <c r="M51" s="295"/>
      <c r="N51" s="1045">
        <f>Deductions!E9</f>
        <v>0</v>
      </c>
      <c r="O51" s="1045"/>
      <c r="P51" s="1045"/>
      <c r="Q51" s="1074"/>
      <c r="R51" s="1075"/>
      <c r="S51" s="287"/>
      <c r="T51" s="277"/>
      <c r="U51" s="277"/>
      <c r="V51" s="277"/>
    </row>
    <row r="52" spans="1:22" ht="15.6">
      <c r="A52" s="1090"/>
      <c r="B52" s="1046" t="s">
        <v>20</v>
      </c>
      <c r="C52" s="1047"/>
      <c r="D52" s="1050" t="s">
        <v>21</v>
      </c>
      <c r="E52" s="1051"/>
      <c r="F52" s="1052"/>
      <c r="G52" s="1059" t="s">
        <v>22</v>
      </c>
      <c r="H52" s="1059"/>
      <c r="I52" s="1059"/>
      <c r="J52" s="961" t="s">
        <v>23</v>
      </c>
      <c r="K52" s="961"/>
      <c r="L52" s="295"/>
      <c r="M52" s="295"/>
      <c r="N52" s="961" t="s">
        <v>24</v>
      </c>
      <c r="O52" s="961"/>
      <c r="P52" s="961"/>
      <c r="Q52" s="1074"/>
      <c r="R52" s="1075"/>
      <c r="S52" s="287"/>
      <c r="T52" s="277"/>
      <c r="U52" s="277"/>
      <c r="V52" s="277"/>
    </row>
    <row r="53" spans="1:22" ht="15.6">
      <c r="A53" s="1090"/>
      <c r="B53" s="1048"/>
      <c r="C53" s="1049"/>
      <c r="D53" s="1053">
        <f>ROUND((N51-J53)*0.3,0)</f>
        <v>0</v>
      </c>
      <c r="E53" s="1054"/>
      <c r="F53" s="1055"/>
      <c r="G53" s="1045">
        <f>IF((Salary!S30+Deductions!E12)&gt;200000,200000,(Salary!S30+Deductions!E12))</f>
        <v>29000</v>
      </c>
      <c r="H53" s="1045"/>
      <c r="I53" s="1045"/>
      <c r="J53" s="1045">
        <f>Deductions!E10</f>
        <v>0</v>
      </c>
      <c r="K53" s="1045"/>
      <c r="L53" s="296"/>
      <c r="M53" s="296"/>
      <c r="N53" s="1045">
        <f>D53+G53+J53</f>
        <v>29000</v>
      </c>
      <c r="O53" s="1045"/>
      <c r="P53" s="1045"/>
      <c r="Q53" s="1074"/>
      <c r="R53" s="1075"/>
      <c r="S53" s="287"/>
      <c r="T53" s="277"/>
      <c r="U53" s="277"/>
      <c r="V53" s="277"/>
    </row>
    <row r="54" spans="1:22" ht="15.6">
      <c r="A54" s="288"/>
      <c r="B54" s="961" t="s">
        <v>25</v>
      </c>
      <c r="C54" s="961"/>
      <c r="D54" s="961"/>
      <c r="E54" s="961"/>
      <c r="F54" s="961"/>
      <c r="G54" s="961"/>
      <c r="H54" s="961"/>
      <c r="I54" s="961"/>
      <c r="J54" s="961"/>
      <c r="K54" s="961"/>
      <c r="L54" s="961"/>
      <c r="M54" s="961"/>
      <c r="N54" s="961"/>
      <c r="O54" s="961"/>
      <c r="P54" s="961"/>
      <c r="Q54" s="289" t="s">
        <v>11</v>
      </c>
      <c r="R54" s="293">
        <f>N51-N53</f>
        <v>-29000</v>
      </c>
      <c r="S54" s="287">
        <f>N51-D53-J53</f>
        <v>0</v>
      </c>
      <c r="T54" s="277"/>
      <c r="U54" s="277"/>
      <c r="V54" s="277"/>
    </row>
    <row r="55" spans="1:22" ht="15.6">
      <c r="A55" s="288"/>
      <c r="B55" s="961" t="s">
        <v>26</v>
      </c>
      <c r="C55" s="961"/>
      <c r="D55" s="961"/>
      <c r="E55" s="961"/>
      <c r="F55" s="961"/>
      <c r="G55" s="961"/>
      <c r="H55" s="961"/>
      <c r="I55" s="961"/>
      <c r="J55" s="961"/>
      <c r="K55" s="961"/>
      <c r="L55" s="961"/>
      <c r="M55" s="961"/>
      <c r="N55" s="961"/>
      <c r="O55" s="961"/>
      <c r="P55" s="961"/>
      <c r="Q55" s="289" t="s">
        <v>11</v>
      </c>
      <c r="R55" s="293">
        <f>R50+R54</f>
        <v>715000</v>
      </c>
      <c r="S55" s="293">
        <f>S50+S54</f>
        <v>719000</v>
      </c>
      <c r="T55" s="277"/>
      <c r="U55" s="277"/>
      <c r="V55" s="277"/>
    </row>
    <row r="56" spans="1:22" ht="15.6">
      <c r="A56" s="288">
        <v>8</v>
      </c>
      <c r="B56" s="964" t="s">
        <v>212</v>
      </c>
      <c r="C56" s="964"/>
      <c r="D56" s="964"/>
      <c r="E56" s="964"/>
      <c r="F56" s="964"/>
      <c r="G56" s="964"/>
      <c r="H56" s="964"/>
      <c r="I56" s="964"/>
      <c r="J56" s="964"/>
      <c r="K56" s="964"/>
      <c r="L56" s="964"/>
      <c r="M56" s="964"/>
      <c r="N56" s="964"/>
      <c r="O56" s="964"/>
      <c r="P56" s="964"/>
      <c r="Q56" s="289" t="s">
        <v>11</v>
      </c>
      <c r="R56" s="293">
        <f>Deductions!$E$7+Deductions!$E$8</f>
        <v>0</v>
      </c>
      <c r="S56" s="293">
        <f>Deductions!$E$7+Deductions!$E$8</f>
        <v>0</v>
      </c>
      <c r="T56" s="277"/>
      <c r="U56" s="277"/>
      <c r="V56" s="277"/>
    </row>
    <row r="57" spans="1:22" ht="15.6">
      <c r="A57" s="288">
        <v>9</v>
      </c>
      <c r="B57" s="964" t="s">
        <v>27</v>
      </c>
      <c r="C57" s="964"/>
      <c r="D57" s="964"/>
      <c r="E57" s="964"/>
      <c r="F57" s="964"/>
      <c r="G57" s="964"/>
      <c r="H57" s="964"/>
      <c r="I57" s="964"/>
      <c r="J57" s="964"/>
      <c r="K57" s="964"/>
      <c r="L57" s="964"/>
      <c r="M57" s="964"/>
      <c r="N57" s="964"/>
      <c r="O57" s="964"/>
      <c r="P57" s="964"/>
      <c r="Q57" s="289"/>
      <c r="R57" s="293">
        <f>Deductions!$E$6</f>
        <v>0</v>
      </c>
      <c r="S57" s="293">
        <f>Deductions!$E$6</f>
        <v>0</v>
      </c>
      <c r="T57" s="277"/>
      <c r="U57" s="277"/>
      <c r="V57" s="277"/>
    </row>
    <row r="58" spans="1:22" ht="15.6">
      <c r="A58" s="288">
        <v>10</v>
      </c>
      <c r="B58" s="964" t="s">
        <v>28</v>
      </c>
      <c r="C58" s="964"/>
      <c r="D58" s="964"/>
      <c r="E58" s="964"/>
      <c r="F58" s="964"/>
      <c r="G58" s="964"/>
      <c r="H58" s="964"/>
      <c r="I58" s="964"/>
      <c r="J58" s="964"/>
      <c r="K58" s="964"/>
      <c r="L58" s="964"/>
      <c r="M58" s="964"/>
      <c r="N58" s="964"/>
      <c r="O58" s="964"/>
      <c r="P58" s="964"/>
      <c r="Q58" s="289" t="s">
        <v>11</v>
      </c>
      <c r="R58" s="290">
        <f>R55+R56+R57</f>
        <v>715000</v>
      </c>
      <c r="S58" s="290">
        <f>S55+S56+S57</f>
        <v>719000</v>
      </c>
      <c r="T58" s="277"/>
      <c r="U58" s="277"/>
      <c r="V58" s="277"/>
    </row>
    <row r="59" spans="1:22" ht="15.6">
      <c r="A59" s="1087">
        <v>11</v>
      </c>
      <c r="B59" s="963" t="s">
        <v>29</v>
      </c>
      <c r="C59" s="963"/>
      <c r="D59" s="963"/>
      <c r="E59" s="963"/>
      <c r="F59" s="963"/>
      <c r="G59" s="963"/>
      <c r="H59" s="963"/>
      <c r="I59" s="963"/>
      <c r="J59" s="963"/>
      <c r="K59" s="963"/>
      <c r="L59" s="963"/>
      <c r="M59" s="963"/>
      <c r="N59" s="963"/>
      <c r="O59" s="963"/>
      <c r="P59" s="963"/>
      <c r="Q59" s="963"/>
      <c r="R59" s="1058"/>
      <c r="S59" s="287"/>
      <c r="T59" s="277"/>
      <c r="U59" s="277"/>
      <c r="V59" s="277"/>
    </row>
    <row r="60" spans="1:22" ht="15.6">
      <c r="A60" s="1088"/>
      <c r="B60" s="1099" t="s">
        <v>30</v>
      </c>
      <c r="C60" s="1099"/>
      <c r="D60" s="1099"/>
      <c r="E60" s="1099"/>
      <c r="F60" s="1099"/>
      <c r="G60" s="1099"/>
      <c r="H60" s="1099"/>
      <c r="I60" s="1099"/>
      <c r="J60" s="1099"/>
      <c r="K60" s="1099"/>
      <c r="L60" s="1099"/>
      <c r="M60" s="1099"/>
      <c r="N60" s="1099"/>
      <c r="O60" s="1099"/>
      <c r="P60" s="1099"/>
      <c r="Q60" s="1099"/>
      <c r="R60" s="1100"/>
      <c r="S60" s="287"/>
      <c r="T60" s="277"/>
      <c r="U60" s="277"/>
      <c r="V60" s="277"/>
    </row>
    <row r="61" spans="1:22" ht="27" customHeight="1">
      <c r="A61" s="1088"/>
      <c r="B61" s="297" t="s">
        <v>31</v>
      </c>
      <c r="C61" s="964" t="s">
        <v>32</v>
      </c>
      <c r="D61" s="964"/>
      <c r="E61" s="964"/>
      <c r="F61" s="964"/>
      <c r="G61" s="289" t="s">
        <v>11</v>
      </c>
      <c r="H61" s="298">
        <f>Salary!O30</f>
        <v>84000</v>
      </c>
      <c r="I61" s="297" t="s">
        <v>33</v>
      </c>
      <c r="J61" s="1037" t="s">
        <v>34</v>
      </c>
      <c r="K61" s="1037"/>
      <c r="L61" s="1037"/>
      <c r="M61" s="1037"/>
      <c r="N61" s="1037"/>
      <c r="O61" s="289" t="s">
        <v>11</v>
      </c>
      <c r="P61" s="299">
        <f>IF(AND($G$2="NPS",Deductions!$N$32="YES"),T30,IF($G$2="NPS",Salary!$M$30,0))</f>
        <v>0</v>
      </c>
      <c r="Q61" s="1033"/>
      <c r="R61" s="1034"/>
      <c r="S61" s="287"/>
      <c r="T61" s="277"/>
      <c r="U61" s="277"/>
      <c r="V61" s="277"/>
    </row>
    <row r="62" spans="1:22" ht="15.6" customHeight="1">
      <c r="A62" s="1088"/>
      <c r="B62" s="297" t="s">
        <v>35</v>
      </c>
      <c r="C62" s="964" t="s">
        <v>36</v>
      </c>
      <c r="D62" s="964"/>
      <c r="E62" s="964"/>
      <c r="F62" s="964"/>
      <c r="G62" s="289" t="s">
        <v>11</v>
      </c>
      <c r="H62" s="298">
        <f>Salary!T30+Deductions!E13</f>
        <v>5628</v>
      </c>
      <c r="I62" s="297" t="s">
        <v>37</v>
      </c>
      <c r="J62" s="976" t="s">
        <v>38</v>
      </c>
      <c r="K62" s="976"/>
      <c r="L62" s="976"/>
      <c r="M62" s="976"/>
      <c r="N62" s="976"/>
      <c r="O62" s="289" t="s">
        <v>11</v>
      </c>
      <c r="P62" s="299">
        <f>Deductions!Q9</f>
        <v>0</v>
      </c>
      <c r="Q62" s="1072"/>
      <c r="R62" s="1073"/>
      <c r="S62" s="287"/>
      <c r="T62" s="277"/>
      <c r="U62" s="277"/>
      <c r="V62" s="277"/>
    </row>
    <row r="63" spans="1:22" ht="15.6">
      <c r="A63" s="1088"/>
      <c r="B63" s="297" t="s">
        <v>39</v>
      </c>
      <c r="C63" s="964" t="s">
        <v>40</v>
      </c>
      <c r="D63" s="964"/>
      <c r="E63" s="964"/>
      <c r="F63" s="964"/>
      <c r="G63" s="289" t="s">
        <v>11</v>
      </c>
      <c r="H63" s="298">
        <f>Deductions!E17</f>
        <v>50000</v>
      </c>
      <c r="I63" s="297" t="s">
        <v>41</v>
      </c>
      <c r="J63" s="976" t="s">
        <v>42</v>
      </c>
      <c r="K63" s="976"/>
      <c r="L63" s="976"/>
      <c r="M63" s="976"/>
      <c r="N63" s="976"/>
      <c r="O63" s="289" t="s">
        <v>11</v>
      </c>
      <c r="P63" s="299">
        <f>Deductions!E18</f>
        <v>0</v>
      </c>
      <c r="Q63" s="1072"/>
      <c r="R63" s="1073"/>
      <c r="S63" s="287"/>
      <c r="T63" s="277"/>
      <c r="U63" s="277"/>
      <c r="V63" s="277"/>
    </row>
    <row r="64" spans="1:22" ht="15.6">
      <c r="A64" s="1088"/>
      <c r="B64" s="297" t="s">
        <v>43</v>
      </c>
      <c r="C64" s="964" t="s">
        <v>44</v>
      </c>
      <c r="D64" s="964"/>
      <c r="E64" s="964"/>
      <c r="F64" s="964"/>
      <c r="G64" s="289" t="s">
        <v>11</v>
      </c>
      <c r="H64" s="298">
        <f>Deductions!E19</f>
        <v>0</v>
      </c>
      <c r="I64" s="297" t="s">
        <v>45</v>
      </c>
      <c r="J64" s="976" t="s">
        <v>46</v>
      </c>
      <c r="K64" s="976"/>
      <c r="L64" s="976"/>
      <c r="M64" s="976"/>
      <c r="N64" s="976"/>
      <c r="O64" s="289" t="s">
        <v>11</v>
      </c>
      <c r="P64" s="299">
        <f>Deductions!E15</f>
        <v>0</v>
      </c>
      <c r="Q64" s="1072"/>
      <c r="R64" s="1073"/>
      <c r="S64" s="287"/>
      <c r="T64" s="277"/>
      <c r="U64" s="277"/>
      <c r="V64" s="277"/>
    </row>
    <row r="65" spans="1:22" ht="15.6">
      <c r="A65" s="1088"/>
      <c r="B65" s="297" t="s">
        <v>47</v>
      </c>
      <c r="C65" s="975" t="s">
        <v>890</v>
      </c>
      <c r="D65" s="964"/>
      <c r="E65" s="964"/>
      <c r="F65" s="964"/>
      <c r="G65" s="289" t="s">
        <v>11</v>
      </c>
      <c r="H65" s="298">
        <f>Deductions!E20</f>
        <v>0</v>
      </c>
      <c r="I65" s="297" t="s">
        <v>48</v>
      </c>
      <c r="J65" s="976" t="s">
        <v>49</v>
      </c>
      <c r="K65" s="976"/>
      <c r="L65" s="976"/>
      <c r="M65" s="976"/>
      <c r="N65" s="976"/>
      <c r="O65" s="289" t="s">
        <v>11</v>
      </c>
      <c r="P65" s="299">
        <f>Deductions!Q18</f>
        <v>0</v>
      </c>
      <c r="Q65" s="1072"/>
      <c r="R65" s="1073"/>
      <c r="S65" s="287"/>
      <c r="T65" s="277"/>
      <c r="U65" s="277"/>
      <c r="V65" s="277"/>
    </row>
    <row r="66" spans="1:22" ht="15.6">
      <c r="A66" s="1088"/>
      <c r="B66" s="297" t="s">
        <v>50</v>
      </c>
      <c r="C66" s="964" t="s">
        <v>514</v>
      </c>
      <c r="D66" s="964"/>
      <c r="E66" s="964"/>
      <c r="F66" s="964"/>
      <c r="G66" s="289" t="s">
        <v>11</v>
      </c>
      <c r="H66" s="299">
        <f>Salary!M30</f>
        <v>0</v>
      </c>
      <c r="I66" s="297" t="s">
        <v>51</v>
      </c>
      <c r="J66" s="976" t="s">
        <v>52</v>
      </c>
      <c r="K66" s="976"/>
      <c r="L66" s="976"/>
      <c r="M66" s="976"/>
      <c r="N66" s="976"/>
      <c r="O66" s="289" t="s">
        <v>11</v>
      </c>
      <c r="P66" s="299">
        <f>Deductions!Q19</f>
        <v>0</v>
      </c>
      <c r="Q66" s="1072"/>
      <c r="R66" s="1073"/>
      <c r="S66" s="287"/>
      <c r="T66" s="277"/>
      <c r="U66" s="277"/>
      <c r="V66" s="277"/>
    </row>
    <row r="67" spans="1:22" ht="15.6">
      <c r="A67" s="1088"/>
      <c r="B67" s="297" t="s">
        <v>53</v>
      </c>
      <c r="C67" s="1070" t="s">
        <v>54</v>
      </c>
      <c r="D67" s="1071"/>
      <c r="E67" s="1071"/>
      <c r="F67" s="1082"/>
      <c r="G67" s="289" t="s">
        <v>11</v>
      </c>
      <c r="H67" s="300">
        <f>Salary!V30</f>
        <v>2100</v>
      </c>
      <c r="I67" s="297" t="s">
        <v>55</v>
      </c>
      <c r="J67" s="964" t="s">
        <v>56</v>
      </c>
      <c r="K67" s="964"/>
      <c r="L67" s="964"/>
      <c r="M67" s="964"/>
      <c r="N67" s="964"/>
      <c r="O67" s="289" t="s">
        <v>11</v>
      </c>
      <c r="P67" s="299">
        <f>Deductions!E14</f>
        <v>14000</v>
      </c>
      <c r="Q67" s="1072"/>
      <c r="R67" s="1073"/>
      <c r="S67" s="287"/>
      <c r="T67" s="277"/>
      <c r="U67" s="277"/>
      <c r="V67" s="277"/>
    </row>
    <row r="68" spans="1:22" ht="15.6">
      <c r="A68" s="1088"/>
      <c r="B68" s="297" t="s">
        <v>57</v>
      </c>
      <c r="C68" s="964" t="s">
        <v>58</v>
      </c>
      <c r="D68" s="964"/>
      <c r="E68" s="964"/>
      <c r="F68" s="964"/>
      <c r="G68" s="289" t="s">
        <v>11</v>
      </c>
      <c r="H68" s="300">
        <f>Deductions!E16</f>
        <v>0</v>
      </c>
      <c r="I68" s="297" t="s">
        <v>59</v>
      </c>
      <c r="J68" s="964" t="s">
        <v>60</v>
      </c>
      <c r="K68" s="964"/>
      <c r="L68" s="964"/>
      <c r="M68" s="964"/>
      <c r="N68" s="964"/>
      <c r="O68" s="289" t="s">
        <v>11</v>
      </c>
      <c r="P68" s="299">
        <f>Deductions!Q8</f>
        <v>0</v>
      </c>
      <c r="Q68" s="1072"/>
      <c r="R68" s="1073"/>
      <c r="S68" s="287"/>
      <c r="T68" s="277"/>
      <c r="U68" s="277"/>
      <c r="V68" s="277"/>
    </row>
    <row r="69" spans="1:22" ht="15.6">
      <c r="A69" s="1088"/>
      <c r="B69" s="297" t="s">
        <v>61</v>
      </c>
      <c r="C69" s="964" t="s">
        <v>62</v>
      </c>
      <c r="D69" s="964"/>
      <c r="E69" s="964"/>
      <c r="F69" s="964"/>
      <c r="G69" s="289" t="s">
        <v>11</v>
      </c>
      <c r="H69" s="298">
        <f>Salary!R30+Deductions!E11</f>
        <v>30000</v>
      </c>
      <c r="I69" s="297" t="s">
        <v>63</v>
      </c>
      <c r="J69" s="964" t="s">
        <v>64</v>
      </c>
      <c r="K69" s="964"/>
      <c r="L69" s="964"/>
      <c r="M69" s="964"/>
      <c r="N69" s="964"/>
      <c r="O69" s="289" t="s">
        <v>11</v>
      </c>
      <c r="P69" s="299">
        <f>Deductions!E21</f>
        <v>0</v>
      </c>
      <c r="Q69" s="1072"/>
      <c r="R69" s="1073"/>
      <c r="S69" s="287"/>
      <c r="T69" s="277"/>
      <c r="U69" s="277"/>
      <c r="V69" s="277"/>
    </row>
    <row r="70" spans="1:22" ht="15.6">
      <c r="A70" s="1088"/>
      <c r="B70" s="972" t="s">
        <v>65</v>
      </c>
      <c r="C70" s="973"/>
      <c r="D70" s="973"/>
      <c r="E70" s="973"/>
      <c r="F70" s="973"/>
      <c r="G70" s="973"/>
      <c r="H70" s="973"/>
      <c r="I70" s="973"/>
      <c r="J70" s="973"/>
      <c r="K70" s="973"/>
      <c r="L70" s="973"/>
      <c r="M70" s="973"/>
      <c r="N70" s="974"/>
      <c r="O70" s="289" t="s">
        <v>11</v>
      </c>
      <c r="P70" s="301">
        <f>SUM(H61:H69)+SUM(P61:P69)</f>
        <v>185728</v>
      </c>
      <c r="Q70" s="1035"/>
      <c r="R70" s="1036"/>
      <c r="S70" s="287"/>
      <c r="T70" s="277"/>
      <c r="U70" s="277"/>
      <c r="V70" s="277"/>
    </row>
    <row r="71" spans="1:22" ht="15.6">
      <c r="A71" s="1088"/>
      <c r="B71" s="965" t="s">
        <v>66</v>
      </c>
      <c r="C71" s="965"/>
      <c r="D71" s="965"/>
      <c r="E71" s="965"/>
      <c r="F71" s="965"/>
      <c r="G71" s="965"/>
      <c r="H71" s="965"/>
      <c r="I71" s="965"/>
      <c r="J71" s="965"/>
      <c r="K71" s="965"/>
      <c r="L71" s="965"/>
      <c r="M71" s="965"/>
      <c r="N71" s="965"/>
      <c r="O71" s="965"/>
      <c r="P71" s="965"/>
      <c r="Q71" s="289" t="s">
        <v>11</v>
      </c>
      <c r="R71" s="290">
        <f>IF(P70&lt;150001,ROUND(P70,0),150000)</f>
        <v>150000</v>
      </c>
      <c r="S71" s="287">
        <v>0</v>
      </c>
      <c r="T71" s="277"/>
      <c r="U71" s="277"/>
      <c r="V71" s="277"/>
    </row>
    <row r="72" spans="1:22" ht="15.6">
      <c r="A72" s="1088"/>
      <c r="B72" s="966" t="s">
        <v>67</v>
      </c>
      <c r="C72" s="967"/>
      <c r="D72" s="967"/>
      <c r="E72" s="967"/>
      <c r="F72" s="967"/>
      <c r="G72" s="967"/>
      <c r="H72" s="967"/>
      <c r="I72" s="967"/>
      <c r="J72" s="967"/>
      <c r="K72" s="967"/>
      <c r="L72" s="967"/>
      <c r="M72" s="967"/>
      <c r="N72" s="967"/>
      <c r="O72" s="967"/>
      <c r="P72" s="968"/>
      <c r="Q72" s="289"/>
      <c r="R72" s="302">
        <f>IF($G$2="NPS",Salary!M30,0)</f>
        <v>0</v>
      </c>
      <c r="S72" s="303">
        <f>R72</f>
        <v>0</v>
      </c>
      <c r="T72" s="292"/>
      <c r="U72" s="292"/>
      <c r="V72" s="277"/>
    </row>
    <row r="73" spans="1:22" ht="15.6" customHeight="1">
      <c r="A73" s="1088"/>
      <c r="B73" s="969" t="s">
        <v>68</v>
      </c>
      <c r="C73" s="970"/>
      <c r="D73" s="970"/>
      <c r="E73" s="970"/>
      <c r="F73" s="970"/>
      <c r="G73" s="970"/>
      <c r="H73" s="970"/>
      <c r="I73" s="970"/>
      <c r="J73" s="970"/>
      <c r="K73" s="970"/>
      <c r="L73" s="970"/>
      <c r="M73" s="970"/>
      <c r="N73" s="970"/>
      <c r="O73" s="970"/>
      <c r="P73" s="971"/>
      <c r="Q73" s="289" t="s">
        <v>11</v>
      </c>
      <c r="R73" s="293">
        <f>Deductions!Q10</f>
        <v>0</v>
      </c>
      <c r="S73" s="287">
        <v>0</v>
      </c>
      <c r="T73" s="277"/>
      <c r="U73" s="277"/>
      <c r="V73" s="277"/>
    </row>
    <row r="74" spans="1:22" ht="15.6" customHeight="1">
      <c r="A74" s="1089"/>
      <c r="B74" s="965" t="s">
        <v>69</v>
      </c>
      <c r="C74" s="965"/>
      <c r="D74" s="965"/>
      <c r="E74" s="965"/>
      <c r="F74" s="965"/>
      <c r="G74" s="965"/>
      <c r="H74" s="965"/>
      <c r="I74" s="965"/>
      <c r="J74" s="965"/>
      <c r="K74" s="965"/>
      <c r="L74" s="965"/>
      <c r="M74" s="965"/>
      <c r="N74" s="965"/>
      <c r="O74" s="965"/>
      <c r="P74" s="965"/>
      <c r="Q74" s="289" t="s">
        <v>11</v>
      </c>
      <c r="R74" s="290">
        <f>SUM(R71:R73)</f>
        <v>150000</v>
      </c>
      <c r="S74" s="304">
        <f>SUM(S71:S73)</f>
        <v>0</v>
      </c>
      <c r="T74" s="305"/>
      <c r="U74" s="305"/>
      <c r="V74" s="277"/>
    </row>
    <row r="75" spans="1:22" ht="15.6">
      <c r="A75" s="306"/>
      <c r="B75" s="963" t="s">
        <v>70</v>
      </c>
      <c r="C75" s="963"/>
      <c r="D75" s="963"/>
      <c r="E75" s="963"/>
      <c r="F75" s="963"/>
      <c r="G75" s="963"/>
      <c r="H75" s="963"/>
      <c r="I75" s="963"/>
      <c r="J75" s="963"/>
      <c r="K75" s="963"/>
      <c r="L75" s="963"/>
      <c r="M75" s="963"/>
      <c r="N75" s="963"/>
      <c r="O75" s="963"/>
      <c r="P75" s="963"/>
      <c r="Q75" s="963"/>
      <c r="R75" s="1058"/>
      <c r="S75" s="287"/>
      <c r="T75" s="277"/>
      <c r="U75" s="277"/>
      <c r="V75" s="277"/>
    </row>
    <row r="76" spans="1:22" ht="15.6">
      <c r="A76" s="306">
        <v>12</v>
      </c>
      <c r="B76" s="1060" t="s">
        <v>71</v>
      </c>
      <c r="C76" s="1061"/>
      <c r="D76" s="1061"/>
      <c r="E76" s="1061"/>
      <c r="F76" s="1061"/>
      <c r="G76" s="1061"/>
      <c r="H76" s="1061"/>
      <c r="I76" s="1061"/>
      <c r="J76" s="1061"/>
      <c r="K76" s="1061"/>
      <c r="L76" s="1061"/>
      <c r="M76" s="1061"/>
      <c r="N76" s="1061"/>
      <c r="O76" s="1061"/>
      <c r="P76" s="1062"/>
      <c r="Q76" s="289" t="s">
        <v>11</v>
      </c>
      <c r="R76" s="293">
        <f>Assesment!Q38</f>
        <v>0</v>
      </c>
      <c r="S76" s="287">
        <v>0</v>
      </c>
      <c r="T76" s="277"/>
      <c r="U76" s="277"/>
      <c r="V76" s="277"/>
    </row>
    <row r="77" spans="1:22" ht="15.6">
      <c r="A77" s="306">
        <v>13</v>
      </c>
      <c r="B77" s="964" t="s">
        <v>72</v>
      </c>
      <c r="C77" s="964"/>
      <c r="D77" s="964"/>
      <c r="E77" s="964"/>
      <c r="F77" s="964"/>
      <c r="G77" s="964"/>
      <c r="H77" s="964"/>
      <c r="I77" s="964"/>
      <c r="J77" s="964"/>
      <c r="K77" s="964"/>
      <c r="L77" s="964"/>
      <c r="M77" s="964"/>
      <c r="N77" s="964"/>
      <c r="O77" s="964"/>
      <c r="P77" s="964"/>
      <c r="Q77" s="289" t="s">
        <v>11</v>
      </c>
      <c r="R77" s="293">
        <f>Assesment!Q39</f>
        <v>0</v>
      </c>
      <c r="S77" s="287">
        <v>0</v>
      </c>
      <c r="T77" s="277"/>
      <c r="U77" s="277"/>
      <c r="V77" s="277"/>
    </row>
    <row r="78" spans="1:22" ht="15.6">
      <c r="A78" s="306">
        <v>14</v>
      </c>
      <c r="B78" s="964" t="s">
        <v>162</v>
      </c>
      <c r="C78" s="964"/>
      <c r="D78" s="964"/>
      <c r="E78" s="964"/>
      <c r="F78" s="964"/>
      <c r="G78" s="964"/>
      <c r="H78" s="964"/>
      <c r="I78" s="964"/>
      <c r="J78" s="964"/>
      <c r="K78" s="964"/>
      <c r="L78" s="964"/>
      <c r="M78" s="964"/>
      <c r="N78" s="964"/>
      <c r="O78" s="964"/>
      <c r="P78" s="964"/>
      <c r="Q78" s="289" t="s">
        <v>11</v>
      </c>
      <c r="R78" s="293">
        <f>Assesment!Q40</f>
        <v>0</v>
      </c>
      <c r="S78" s="287">
        <v>0</v>
      </c>
      <c r="T78" s="277"/>
      <c r="U78" s="277"/>
      <c r="V78" s="277"/>
    </row>
    <row r="79" spans="1:22" ht="15.6">
      <c r="A79" s="306">
        <v>15</v>
      </c>
      <c r="B79" s="964" t="s">
        <v>73</v>
      </c>
      <c r="C79" s="964"/>
      <c r="D79" s="964"/>
      <c r="E79" s="964"/>
      <c r="F79" s="964"/>
      <c r="G79" s="964"/>
      <c r="H79" s="964"/>
      <c r="I79" s="964"/>
      <c r="J79" s="964"/>
      <c r="K79" s="964"/>
      <c r="L79" s="964"/>
      <c r="M79" s="964"/>
      <c r="N79" s="964"/>
      <c r="O79" s="964"/>
      <c r="P79" s="964"/>
      <c r="Q79" s="289" t="s">
        <v>11</v>
      </c>
      <c r="R79" s="293">
        <f>Deductions!$Q$14</f>
        <v>0</v>
      </c>
      <c r="S79" s="287">
        <v>0</v>
      </c>
      <c r="T79" s="277"/>
      <c r="U79" s="277"/>
      <c r="V79" s="277"/>
    </row>
    <row r="80" spans="1:22" ht="15.6">
      <c r="A80" s="306">
        <v>16</v>
      </c>
      <c r="B80" s="964" t="s">
        <v>74</v>
      </c>
      <c r="C80" s="964"/>
      <c r="D80" s="964"/>
      <c r="E80" s="964"/>
      <c r="F80" s="964"/>
      <c r="G80" s="964"/>
      <c r="H80" s="964"/>
      <c r="I80" s="964"/>
      <c r="J80" s="964"/>
      <c r="K80" s="964"/>
      <c r="L80" s="964"/>
      <c r="M80" s="964"/>
      <c r="N80" s="964"/>
      <c r="O80" s="964"/>
      <c r="P80" s="964"/>
      <c r="Q80" s="289" t="s">
        <v>11</v>
      </c>
      <c r="R80" s="293">
        <f>Deductions!$Q$15+Salary!$W$30</f>
        <v>0</v>
      </c>
      <c r="S80" s="287">
        <v>0</v>
      </c>
      <c r="T80" s="277"/>
      <c r="U80" s="277"/>
      <c r="V80" s="277"/>
    </row>
    <row r="81" spans="1:27" ht="15.6">
      <c r="A81" s="306">
        <v>17</v>
      </c>
      <c r="B81" s="1060" t="s">
        <v>75</v>
      </c>
      <c r="C81" s="1061"/>
      <c r="D81" s="1061"/>
      <c r="E81" s="1061"/>
      <c r="F81" s="1061"/>
      <c r="G81" s="1061"/>
      <c r="H81" s="1061"/>
      <c r="I81" s="1061"/>
      <c r="J81" s="1061"/>
      <c r="K81" s="1061"/>
      <c r="L81" s="1061"/>
      <c r="M81" s="1061"/>
      <c r="N81" s="1061"/>
      <c r="O81" s="1061"/>
      <c r="P81" s="1062"/>
      <c r="Q81" s="289" t="s">
        <v>11</v>
      </c>
      <c r="R81" s="293">
        <f>Assesment!Q43</f>
        <v>0</v>
      </c>
      <c r="S81" s="287">
        <v>0</v>
      </c>
      <c r="T81" s="277"/>
      <c r="U81" s="277"/>
      <c r="V81" s="277"/>
    </row>
    <row r="82" spans="1:27" ht="15.6">
      <c r="A82" s="1096">
        <v>18</v>
      </c>
      <c r="B82" s="1070" t="s">
        <v>220</v>
      </c>
      <c r="C82" s="1071"/>
      <c r="D82" s="1071"/>
      <c r="E82" s="1071"/>
      <c r="F82" s="1071"/>
      <c r="G82" s="1071"/>
      <c r="H82" s="1071"/>
      <c r="I82" s="1071"/>
      <c r="J82" s="1071"/>
      <c r="K82" s="1071"/>
      <c r="L82" s="1071"/>
      <c r="M82" s="1071"/>
      <c r="N82" s="1071"/>
      <c r="O82" s="1071"/>
      <c r="P82" s="1082"/>
      <c r="Q82" s="289" t="s">
        <v>11</v>
      </c>
      <c r="R82" s="293">
        <f>IF(Deductions!$E$7="",0,IF($M$93=1,MIN(Deductions!$E$7,10000),0))</f>
        <v>0</v>
      </c>
      <c r="S82" s="287">
        <v>0</v>
      </c>
      <c r="T82" s="277"/>
      <c r="U82" s="277"/>
      <c r="V82" s="277"/>
    </row>
    <row r="83" spans="1:27" ht="15.6">
      <c r="A83" s="1097"/>
      <c r="B83" s="1070" t="s">
        <v>210</v>
      </c>
      <c r="C83" s="1071"/>
      <c r="D83" s="1071"/>
      <c r="E83" s="1071"/>
      <c r="F83" s="1071"/>
      <c r="G83" s="1071"/>
      <c r="H83" s="1071"/>
      <c r="I83" s="1071"/>
      <c r="J83" s="1071"/>
      <c r="K83" s="1071"/>
      <c r="L83" s="1071"/>
      <c r="M83" s="1071"/>
      <c r="N83" s="1082"/>
      <c r="O83" s="294"/>
      <c r="P83" s="307"/>
      <c r="Q83" s="289"/>
      <c r="R83" s="293">
        <f>IF(Deductions!$E$8="",0,IF($M$93=1,0,MIN(Deductions!$E$8,50000)))</f>
        <v>0</v>
      </c>
      <c r="S83" s="287">
        <v>0</v>
      </c>
      <c r="T83" s="277"/>
      <c r="U83" s="277"/>
      <c r="V83" s="277"/>
    </row>
    <row r="84" spans="1:27" ht="15.6">
      <c r="A84" s="306">
        <v>19</v>
      </c>
      <c r="B84" s="1070" t="s">
        <v>211</v>
      </c>
      <c r="C84" s="1071"/>
      <c r="D84" s="1071"/>
      <c r="E84" s="1071"/>
      <c r="F84" s="1071"/>
      <c r="G84" s="1071"/>
      <c r="H84" s="1071"/>
      <c r="I84" s="1071"/>
      <c r="J84" s="1071"/>
      <c r="K84" s="1071"/>
      <c r="L84" s="1071"/>
      <c r="M84" s="1071"/>
      <c r="N84" s="1071"/>
      <c r="O84" s="1071"/>
      <c r="P84" s="1082"/>
      <c r="Q84" s="289" t="s">
        <v>11</v>
      </c>
      <c r="R84" s="293">
        <f>Deductions!$Q$17</f>
        <v>0</v>
      </c>
      <c r="S84" s="287">
        <v>0</v>
      </c>
      <c r="T84" s="277"/>
      <c r="U84" s="277"/>
      <c r="V84" s="277"/>
    </row>
    <row r="85" spans="1:27" ht="15.6">
      <c r="A85" s="568"/>
      <c r="B85" s="565" t="s">
        <v>888</v>
      </c>
      <c r="C85" s="294"/>
      <c r="D85" s="294"/>
      <c r="E85" s="294"/>
      <c r="F85" s="294"/>
      <c r="G85" s="294"/>
      <c r="H85" s="294"/>
      <c r="I85" s="294"/>
      <c r="J85" s="294"/>
      <c r="K85" s="294"/>
      <c r="L85" s="294"/>
      <c r="M85" s="294"/>
      <c r="N85" s="294"/>
      <c r="O85" s="294"/>
      <c r="P85" s="307"/>
      <c r="Q85" s="289"/>
      <c r="R85" s="293">
        <f>IF(Deductions!E22="",0,IF(Deductions!E22&lt;50000,Deductions!E22,50000))</f>
        <v>0</v>
      </c>
      <c r="S85" s="287"/>
      <c r="T85" s="277"/>
      <c r="U85" s="277"/>
      <c r="V85" s="277"/>
    </row>
    <row r="86" spans="1:27" ht="15.6">
      <c r="A86" s="568"/>
      <c r="B86" s="565" t="s">
        <v>889</v>
      </c>
      <c r="C86" s="294"/>
      <c r="D86" s="294"/>
      <c r="E86" s="294"/>
      <c r="F86" s="294"/>
      <c r="G86" s="294"/>
      <c r="H86" s="294"/>
      <c r="I86" s="294"/>
      <c r="J86" s="294"/>
      <c r="K86" s="294"/>
      <c r="L86" s="294"/>
      <c r="M86" s="294"/>
      <c r="N86" s="294"/>
      <c r="O86" s="294"/>
      <c r="P86" s="307"/>
      <c r="Q86" s="289"/>
      <c r="R86" s="293">
        <f>IF(Deductions!Q22="",0,IF(Deductions!Q22&lt;150000,Deductions!Q22,150000))</f>
        <v>0</v>
      </c>
      <c r="S86" s="287"/>
      <c r="T86" s="277"/>
      <c r="U86" s="277"/>
      <c r="V86" s="277"/>
    </row>
    <row r="87" spans="1:27" ht="15.6">
      <c r="A87" s="308"/>
      <c r="B87" s="965" t="s">
        <v>484</v>
      </c>
      <c r="C87" s="965"/>
      <c r="D87" s="965"/>
      <c r="E87" s="965"/>
      <c r="F87" s="965"/>
      <c r="G87" s="965"/>
      <c r="H87" s="965"/>
      <c r="I87" s="965"/>
      <c r="J87" s="965"/>
      <c r="K87" s="965"/>
      <c r="L87" s="965"/>
      <c r="M87" s="965"/>
      <c r="N87" s="965"/>
      <c r="O87" s="965"/>
      <c r="P87" s="965"/>
      <c r="Q87" s="289" t="s">
        <v>11</v>
      </c>
      <c r="R87" s="309">
        <f>SUM($R$76:$R$86)</f>
        <v>0</v>
      </c>
      <c r="S87" s="310">
        <f>SUM(S76:S84)</f>
        <v>0</v>
      </c>
      <c r="T87" s="311"/>
      <c r="U87" s="311"/>
      <c r="V87" s="277"/>
    </row>
    <row r="88" spans="1:27" ht="15.6">
      <c r="A88" s="288">
        <v>20</v>
      </c>
      <c r="B88" s="963" t="s">
        <v>485</v>
      </c>
      <c r="C88" s="963"/>
      <c r="D88" s="963"/>
      <c r="E88" s="963"/>
      <c r="F88" s="963"/>
      <c r="G88" s="963"/>
      <c r="H88" s="963"/>
      <c r="I88" s="963"/>
      <c r="J88" s="963"/>
      <c r="K88" s="963"/>
      <c r="L88" s="963"/>
      <c r="M88" s="963"/>
      <c r="N88" s="963"/>
      <c r="O88" s="963"/>
      <c r="P88" s="963"/>
      <c r="Q88" s="289" t="s">
        <v>11</v>
      </c>
      <c r="R88" s="312">
        <f>$R$74+$R$87</f>
        <v>150000</v>
      </c>
      <c r="S88" s="312">
        <f>S74+S87</f>
        <v>0</v>
      </c>
      <c r="T88" s="313"/>
      <c r="U88" s="313"/>
      <c r="V88" s="277"/>
    </row>
    <row r="89" spans="1:27" ht="15.6">
      <c r="A89" s="288">
        <v>21</v>
      </c>
      <c r="B89" s="964" t="s">
        <v>76</v>
      </c>
      <c r="C89" s="964"/>
      <c r="D89" s="964"/>
      <c r="E89" s="964"/>
      <c r="F89" s="964"/>
      <c r="G89" s="964"/>
      <c r="H89" s="964"/>
      <c r="I89" s="964"/>
      <c r="J89" s="964"/>
      <c r="K89" s="964"/>
      <c r="L89" s="964"/>
      <c r="M89" s="964"/>
      <c r="N89" s="964"/>
      <c r="O89" s="964"/>
      <c r="P89" s="964"/>
      <c r="Q89" s="289" t="s">
        <v>11</v>
      </c>
      <c r="R89" s="312">
        <f>$R$58-$R$88</f>
        <v>565000</v>
      </c>
      <c r="S89" s="312">
        <f>S58-S88</f>
        <v>719000</v>
      </c>
      <c r="T89" s="277"/>
      <c r="U89" s="277"/>
      <c r="V89" s="277"/>
    </row>
    <row r="90" spans="1:27" ht="15.6">
      <c r="A90" s="288">
        <v>15</v>
      </c>
      <c r="B90" s="963" t="s">
        <v>77</v>
      </c>
      <c r="C90" s="963"/>
      <c r="D90" s="963"/>
      <c r="E90" s="963"/>
      <c r="F90" s="963"/>
      <c r="G90" s="963"/>
      <c r="H90" s="963"/>
      <c r="I90" s="963"/>
      <c r="J90" s="963"/>
      <c r="K90" s="963"/>
      <c r="L90" s="963"/>
      <c r="M90" s="963"/>
      <c r="N90" s="963"/>
      <c r="O90" s="963"/>
      <c r="P90" s="963"/>
      <c r="Q90" s="289" t="s">
        <v>11</v>
      </c>
      <c r="R90" s="314">
        <f>ROUND($R$89,-1)</f>
        <v>565000</v>
      </c>
      <c r="S90" s="314">
        <f>ROUND($S$89,-1)</f>
        <v>719000</v>
      </c>
      <c r="T90" s="315"/>
      <c r="U90" s="315"/>
      <c r="V90" s="277"/>
    </row>
    <row r="91" spans="1:27">
      <c r="J91" s="1038" t="str">
        <f>Assesment!C52</f>
        <v>कुल आय की राशि को सम्पूर्ण करना ( दस के गुणक में ) धारा 288A</v>
      </c>
      <c r="K91" s="1038"/>
      <c r="L91" s="1038"/>
      <c r="M91" s="1038"/>
      <c r="N91" s="1038"/>
      <c r="O91" s="1038"/>
      <c r="P91" s="1038"/>
      <c r="Q91" s="1038"/>
    </row>
    <row r="92" spans="1:27" ht="15.6">
      <c r="B92" s="992" t="s">
        <v>167</v>
      </c>
      <c r="C92" s="985"/>
      <c r="D92" s="985"/>
      <c r="E92" s="985"/>
      <c r="F92" s="985"/>
      <c r="G92" s="985"/>
      <c r="H92" s="985"/>
      <c r="I92" s="985"/>
      <c r="J92" s="985"/>
      <c r="K92" s="985"/>
      <c r="L92" s="316"/>
      <c r="M92" s="316"/>
      <c r="N92" s="985" t="s">
        <v>166</v>
      </c>
      <c r="O92" s="985"/>
      <c r="P92" s="985"/>
      <c r="Q92" s="986"/>
      <c r="R92" s="317" t="s">
        <v>167</v>
      </c>
      <c r="S92" s="317" t="s">
        <v>166</v>
      </c>
      <c r="T92" s="317" t="s">
        <v>167</v>
      </c>
      <c r="U92" s="317" t="s">
        <v>166</v>
      </c>
      <c r="W92" s="24" t="s">
        <v>933</v>
      </c>
      <c r="Y92" s="24" t="s">
        <v>934</v>
      </c>
      <c r="AA92" s="24" t="s">
        <v>935</v>
      </c>
    </row>
    <row r="93" spans="1:27" ht="15.6">
      <c r="B93" s="993" t="s">
        <v>78</v>
      </c>
      <c r="C93" s="994"/>
      <c r="D93" s="994"/>
      <c r="E93" s="316"/>
      <c r="F93" s="316"/>
      <c r="G93" s="316"/>
      <c r="H93" s="316"/>
      <c r="I93" s="316"/>
      <c r="J93" s="316"/>
      <c r="K93" s="316" t="s">
        <v>481</v>
      </c>
      <c r="L93" s="316"/>
      <c r="M93" s="316">
        <v>1</v>
      </c>
      <c r="N93" s="316"/>
      <c r="O93" s="316"/>
      <c r="P93" s="318"/>
      <c r="Q93" s="319" t="s">
        <v>170</v>
      </c>
      <c r="R93" s="277">
        <f>$R$90</f>
        <v>565000</v>
      </c>
      <c r="S93" s="277">
        <f>$S$90</f>
        <v>719000</v>
      </c>
      <c r="T93" s="277"/>
      <c r="U93" s="277"/>
    </row>
    <row r="94" spans="1:27" ht="15.6">
      <c r="C94" s="24" t="s">
        <v>170</v>
      </c>
      <c r="E94" s="999" t="s">
        <v>79</v>
      </c>
      <c r="F94" s="999"/>
      <c r="G94" s="999"/>
      <c r="H94" s="999"/>
      <c r="I94" s="1000"/>
      <c r="J94" s="993" t="s">
        <v>80</v>
      </c>
      <c r="K94" s="994"/>
      <c r="L94" s="994"/>
      <c r="M94" s="998"/>
      <c r="N94" s="983" t="s">
        <v>936</v>
      </c>
      <c r="O94" s="984"/>
      <c r="P94" s="320">
        <v>0</v>
      </c>
      <c r="Q94" s="319">
        <f>IF($S$93&gt;300000,300000,$S$93)</f>
        <v>300000</v>
      </c>
      <c r="R94" s="321"/>
      <c r="S94" s="322">
        <f>$Q$94*$P$94</f>
        <v>0</v>
      </c>
      <c r="T94" s="323"/>
      <c r="U94" s="323"/>
    </row>
    <row r="95" spans="1:27" ht="15.6">
      <c r="A95" s="987" t="s">
        <v>163</v>
      </c>
      <c r="B95" s="988"/>
      <c r="C95" s="319">
        <f>IF($R$93&gt;250000,250000,$R$93)</f>
        <v>250000</v>
      </c>
      <c r="D95" s="324">
        <v>0</v>
      </c>
      <c r="E95" s="995" t="s">
        <v>479</v>
      </c>
      <c r="F95" s="996"/>
      <c r="G95" s="997"/>
      <c r="H95" s="202">
        <f>IF($R$93&gt;300000,300000,$R$93)</f>
        <v>300000</v>
      </c>
      <c r="I95" s="325">
        <v>0</v>
      </c>
      <c r="J95" s="981"/>
      <c r="K95" s="982"/>
      <c r="L95" s="326"/>
      <c r="M95" s="326"/>
      <c r="N95" s="983" t="s">
        <v>971</v>
      </c>
      <c r="O95" s="984"/>
      <c r="P95" s="320">
        <v>0.05</v>
      </c>
      <c r="Q95" s="319">
        <f>IF($S$93&gt;700000,400000,IF($S$93&gt;300000,$S$93-300000,0))</f>
        <v>400000</v>
      </c>
      <c r="R95" s="322">
        <f>IF($M$93=1,$C$95*$D$95,IF($M$93=2,$H$95*$I$95,$L$95*$M$95))</f>
        <v>0</v>
      </c>
      <c r="S95" s="322">
        <f>$Q$95*$P$95</f>
        <v>20000</v>
      </c>
      <c r="T95" s="323"/>
      <c r="U95" s="323"/>
    </row>
    <row r="96" spans="1:27" ht="15.6">
      <c r="A96" s="987" t="s">
        <v>82</v>
      </c>
      <c r="B96" s="988"/>
      <c r="C96" s="319">
        <f>IF($R$93&gt;500000,250000,IF($R$93&gt;250000,$R$93-250000,0))</f>
        <v>250000</v>
      </c>
      <c r="D96" s="327">
        <v>0.05</v>
      </c>
      <c r="E96" s="989" t="s">
        <v>83</v>
      </c>
      <c r="F96" s="990"/>
      <c r="G96" s="991"/>
      <c r="H96" s="202">
        <f>IF($R$93&gt;500000,200000,IF($R$93&gt;300000,$R$93-300000,0))</f>
        <v>200000</v>
      </c>
      <c r="I96" s="328">
        <v>0.05</v>
      </c>
      <c r="J96" s="977" t="s">
        <v>84</v>
      </c>
      <c r="K96" s="978"/>
      <c r="L96" s="202">
        <f>IF($R$93&gt;500000,500000,$R$93)</f>
        <v>500000</v>
      </c>
      <c r="M96" s="325">
        <v>0</v>
      </c>
      <c r="N96" s="983" t="s">
        <v>972</v>
      </c>
      <c r="O96" s="984"/>
      <c r="P96" s="320">
        <v>0.1</v>
      </c>
      <c r="Q96" s="319">
        <f>IF($S$93&gt;1000000,300000,IF($S$93&gt;700000,$S$93-700000,0))</f>
        <v>19000</v>
      </c>
      <c r="R96" s="322">
        <f>IF($M$93=1,$C$96*$D$96,IF($M$93=2,$H$96*$I$96,$L$96*$M$96))</f>
        <v>12500</v>
      </c>
      <c r="S96" s="322">
        <f>$Q$96*$P$96</f>
        <v>1900</v>
      </c>
      <c r="T96" s="323"/>
      <c r="U96" s="323"/>
    </row>
    <row r="97" spans="1:22" ht="15.6">
      <c r="A97" s="987" t="s">
        <v>85</v>
      </c>
      <c r="B97" s="988"/>
      <c r="C97" s="319">
        <f>IF($R$93&gt;1000000,500000,IF($R$93&gt;500000,$R$93-500000,0))</f>
        <v>65000</v>
      </c>
      <c r="D97" s="327">
        <v>0.2</v>
      </c>
      <c r="E97" s="989" t="s">
        <v>85</v>
      </c>
      <c r="F97" s="990"/>
      <c r="G97" s="991"/>
      <c r="H97" s="202">
        <f>IF($R$93&gt;1000000,500000,IF($R$93&gt;500000,$R$93-500000,0))</f>
        <v>65000</v>
      </c>
      <c r="I97" s="328">
        <v>0.2</v>
      </c>
      <c r="J97" s="979" t="s">
        <v>85</v>
      </c>
      <c r="K97" s="980"/>
      <c r="L97" s="202">
        <f>IF($R$93&gt;1000000,500000,IF($R$93&gt;500000,$R$93-500000,0))</f>
        <v>65000</v>
      </c>
      <c r="M97" s="328">
        <v>0.2</v>
      </c>
      <c r="N97" s="983" t="s">
        <v>973</v>
      </c>
      <c r="O97" s="984"/>
      <c r="P97" s="320">
        <v>0.15</v>
      </c>
      <c r="Q97" s="319">
        <f>IF($S$93&gt;1200000,200000,IF($S$93&gt;1000000,$S$93-1000000,0))</f>
        <v>0</v>
      </c>
      <c r="R97" s="322">
        <f>IF($M$93=1,$C$97*$D$97,IF($M$93=2,$H$97*$I$97,$L$97*$M$97))</f>
        <v>13000</v>
      </c>
      <c r="S97" s="322">
        <f>$Q$97*$P$97</f>
        <v>0</v>
      </c>
      <c r="T97" s="323"/>
      <c r="U97" s="323"/>
    </row>
    <row r="98" spans="1:22" ht="15.6">
      <c r="A98" s="987" t="s">
        <v>164</v>
      </c>
      <c r="B98" s="988"/>
      <c r="C98" s="319">
        <f>IF($R$93&gt;1000000,IF($R$93&gt;1000000,$R$93-1000000,0),0)</f>
        <v>0</v>
      </c>
      <c r="D98" s="327">
        <v>0.3</v>
      </c>
      <c r="E98" s="989" t="s">
        <v>480</v>
      </c>
      <c r="F98" s="990"/>
      <c r="G98" s="991"/>
      <c r="H98" s="319">
        <f>IF($R$93&gt;1000000,IF($R$93&gt;1000000,$R$93-1000000,0),0)</f>
        <v>0</v>
      </c>
      <c r="I98" s="328">
        <v>0.3</v>
      </c>
      <c r="J98" s="1002" t="s">
        <v>478</v>
      </c>
      <c r="K98" s="1003"/>
      <c r="L98" s="319">
        <f>IF($R$93&gt;1000000,IF($R$93&gt;1000000,$R$93-1000000,0),0)</f>
        <v>0</v>
      </c>
      <c r="M98" s="328">
        <v>0.3</v>
      </c>
      <c r="N98" s="983" t="s">
        <v>937</v>
      </c>
      <c r="O98" s="984"/>
      <c r="P98" s="320">
        <v>0.2</v>
      </c>
      <c r="Q98" s="319">
        <f>IF($S$93&gt;1500000,300000,IF($S$93&gt;1200000,$S$93-1200000,0))</f>
        <v>0</v>
      </c>
      <c r="R98" s="322">
        <f>IF($M$93=1,$C$98*$D$98,IF($M$93=2,$H$98*$I$98,$L$98*$M$98))</f>
        <v>0</v>
      </c>
      <c r="S98" s="322">
        <f>$Q$98*$P$98</f>
        <v>0</v>
      </c>
      <c r="T98" s="323"/>
      <c r="U98" s="323"/>
    </row>
    <row r="99" spans="1:22" ht="15.6">
      <c r="A99" s="1001" t="s">
        <v>6</v>
      </c>
      <c r="B99" s="1001"/>
      <c r="C99" s="329">
        <f>SUM(C95:C98)</f>
        <v>565000</v>
      </c>
      <c r="D99" s="327"/>
      <c r="E99" s="989"/>
      <c r="F99" s="990"/>
      <c r="G99" s="991"/>
      <c r="H99" s="329">
        <f>SUM(H95:H98)</f>
        <v>565000</v>
      </c>
      <c r="I99" s="981"/>
      <c r="J99" s="982"/>
      <c r="K99" s="328"/>
      <c r="L99" s="329">
        <f>SUM(L95:L98)</f>
        <v>565000</v>
      </c>
      <c r="M99" s="327"/>
      <c r="N99" s="983" t="s">
        <v>165</v>
      </c>
      <c r="O99" s="984"/>
      <c r="P99" s="320">
        <v>0.3</v>
      </c>
      <c r="Q99" s="319">
        <f>IF($S$93&gt;1500000,IF($S$93&gt;1500000,$S$93-1500000,0),0)</f>
        <v>0</v>
      </c>
      <c r="R99" s="322"/>
      <c r="S99" s="322">
        <f>$Q$99*$P$99</f>
        <v>0</v>
      </c>
      <c r="T99" s="323"/>
      <c r="U99" s="323"/>
    </row>
    <row r="100" spans="1:22" ht="16.2" thickBot="1">
      <c r="B100" s="330"/>
      <c r="C100" s="330"/>
      <c r="D100" s="331"/>
      <c r="E100" s="332"/>
      <c r="F100" s="332"/>
      <c r="G100" s="332"/>
      <c r="H100" s="331"/>
      <c r="I100" s="333"/>
      <c r="J100" s="333"/>
      <c r="K100" s="331"/>
      <c r="L100" s="331"/>
      <c r="M100" s="331"/>
      <c r="N100" s="983"/>
      <c r="O100" s="984"/>
      <c r="P100" s="334"/>
      <c r="Q100" s="319"/>
      <c r="R100" s="322"/>
      <c r="S100" s="322"/>
      <c r="T100" s="323"/>
      <c r="U100" s="323"/>
    </row>
    <row r="101" spans="1:22">
      <c r="O101" s="962" t="s">
        <v>173</v>
      </c>
      <c r="P101" s="962"/>
      <c r="Q101" s="962"/>
      <c r="R101" s="335">
        <f>ROUND(SUM(R95:R99),0)</f>
        <v>25500</v>
      </c>
      <c r="S101" s="335">
        <f>ROUND(SUM(S95:S100),0)</f>
        <v>21900</v>
      </c>
      <c r="T101" s="616"/>
      <c r="U101" s="616">
        <f>IF($S$90&lt;=300000,0,IF($S$90&lt;600001,(S90-300000)*5%,IF(S90&lt;900001,(S90-600000)*10%+15000,IF(S90&lt;1200001,(S90-900000)*15%+45000,IF(S90&lt;1500001,(S90-1200000)*20%+90000,IF(S90&gt;1500000,(S90-1500000)*30%+150000))))))</f>
        <v>26900</v>
      </c>
    </row>
    <row r="102" spans="1:22">
      <c r="A102" s="952" t="s">
        <v>938</v>
      </c>
      <c r="B102" s="952"/>
      <c r="C102" s="952"/>
      <c r="D102" s="952"/>
      <c r="E102" s="952"/>
      <c r="F102" s="952"/>
      <c r="G102" s="952"/>
      <c r="H102" s="952"/>
      <c r="I102" s="952"/>
      <c r="J102" s="952"/>
      <c r="K102" s="952"/>
      <c r="L102" s="952"/>
      <c r="M102" s="952"/>
      <c r="N102" s="952"/>
      <c r="O102" s="952"/>
      <c r="P102" s="952"/>
      <c r="Q102" s="952"/>
      <c r="R102" s="277">
        <f>IF($R$90&lt;500001,IF($R$101&lt;12500,$R$101,12500),0)</f>
        <v>0</v>
      </c>
      <c r="S102" s="277">
        <f>IF($S$90&lt;=700000,IF($S$101&lt;20000,$S$101,20000),0)</f>
        <v>0</v>
      </c>
      <c r="T102" s="277"/>
      <c r="U102" s="277"/>
    </row>
    <row r="103" spans="1:22">
      <c r="P103" s="228" t="s">
        <v>177</v>
      </c>
      <c r="Q103" s="228"/>
      <c r="R103" s="303">
        <f>R101-R102</f>
        <v>25500</v>
      </c>
      <c r="S103" s="303">
        <f>S101</f>
        <v>21900</v>
      </c>
      <c r="T103" s="292"/>
      <c r="U103" s="292"/>
      <c r="V103" s="24" t="s">
        <v>940</v>
      </c>
    </row>
    <row r="104" spans="1:22" ht="15.6">
      <c r="B104" s="958" t="s">
        <v>86</v>
      </c>
      <c r="C104" s="959"/>
      <c r="D104" s="959"/>
      <c r="E104" s="959"/>
      <c r="F104" s="959"/>
      <c r="G104" s="959"/>
      <c r="H104" s="959"/>
      <c r="I104" s="959"/>
      <c r="J104" s="959"/>
      <c r="K104" s="959"/>
      <c r="L104" s="959"/>
      <c r="M104" s="959"/>
      <c r="N104" s="959"/>
      <c r="O104" s="959"/>
      <c r="P104" s="960"/>
      <c r="V104" s="24" t="s">
        <v>939</v>
      </c>
    </row>
    <row r="106" spans="1:22">
      <c r="V106" s="24" t="s">
        <v>965</v>
      </c>
    </row>
    <row r="107" spans="1:22">
      <c r="I107"/>
      <c r="J107"/>
      <c r="K107"/>
      <c r="L107"/>
      <c r="M107"/>
      <c r="N107" t="s">
        <v>960</v>
      </c>
      <c r="P107" s="1440" t="s">
        <v>1013</v>
      </c>
      <c r="Q107" s="1441"/>
      <c r="R107" s="1441"/>
      <c r="S107" s="1441"/>
      <c r="V107" s="24" t="s">
        <v>964</v>
      </c>
    </row>
    <row r="108" spans="1:22" ht="14.4" customHeight="1">
      <c r="H108" s="1083" t="s">
        <v>956</v>
      </c>
      <c r="I108" s="1083"/>
      <c r="J108" s="632">
        <f>S90</f>
        <v>719000</v>
      </c>
      <c r="K108"/>
      <c r="L108">
        <v>700000</v>
      </c>
      <c r="M108"/>
      <c r="N108" s="632">
        <f>IF($J$108&gt;$L$108,J108-L108,0)</f>
        <v>19000</v>
      </c>
      <c r="P108" s="1439" t="s">
        <v>1011</v>
      </c>
      <c r="Q108" s="1439" t="s">
        <v>1012</v>
      </c>
      <c r="R108" s="1439" t="s">
        <v>961</v>
      </c>
      <c r="S108" s="1439" t="s">
        <v>1014</v>
      </c>
    </row>
    <row r="109" spans="1:22" ht="14.4" customHeight="1">
      <c r="H109" s="1083" t="s">
        <v>957</v>
      </c>
      <c r="I109" s="1083"/>
      <c r="J109" s="632">
        <f>S101</f>
        <v>21900</v>
      </c>
      <c r="K109"/>
      <c r="L109">
        <v>0</v>
      </c>
      <c r="M109"/>
      <c r="N109" s="632">
        <f>IF($J$108&gt;$L$108,J109-L109,0)</f>
        <v>21900</v>
      </c>
      <c r="P109" s="202">
        <f>IF(S90&gt;700000,S90-700000,0)</f>
        <v>19000</v>
      </c>
      <c r="Q109" s="202">
        <f>IF(S90&gt;700000,S101,0)</f>
        <v>21900</v>
      </c>
      <c r="R109" s="202">
        <f>IF(S90&gt;700000,IF(P109&lt;Q109,Q109-P109,0),0)</f>
        <v>2900</v>
      </c>
      <c r="S109" s="287">
        <f>S101-R109</f>
        <v>19000</v>
      </c>
    </row>
    <row r="110" spans="1:22" ht="14.4" customHeight="1">
      <c r="H110" s="1083" t="s">
        <v>958</v>
      </c>
      <c r="I110" s="1083"/>
      <c r="J110" s="632">
        <f>Assesment!Q65</f>
        <v>1020</v>
      </c>
      <c r="K110"/>
      <c r="L110"/>
      <c r="M110" s="615" t="s">
        <v>961</v>
      </c>
      <c r="N110" s="1438">
        <f>IF(N109&gt;N108,N109-N108,0)</f>
        <v>2900</v>
      </c>
    </row>
    <row r="111" spans="1:22" ht="14.4" customHeight="1">
      <c r="H111" s="1083" t="s">
        <v>715</v>
      </c>
      <c r="I111" s="1083"/>
      <c r="J111"/>
      <c r="K111"/>
      <c r="L111"/>
      <c r="M111"/>
      <c r="N111"/>
    </row>
    <row r="112" spans="1:22" ht="14.4" customHeight="1">
      <c r="H112" s="1083" t="s">
        <v>959</v>
      </c>
      <c r="I112" s="1083"/>
      <c r="J112" s="632">
        <f>SUM(J108:J111)</f>
        <v>741920</v>
      </c>
      <c r="K112"/>
      <c r="L112"/>
      <c r="M112" t="s">
        <v>962</v>
      </c>
      <c r="N112" s="632">
        <f>J109-N110</f>
        <v>19000</v>
      </c>
    </row>
  </sheetData>
  <customSheetViews>
    <customSheetView guid="{1E5138D0-1BD0-4D7E-A5B4-E19521ADA196}" state="hidden">
      <selection activeCell="R42" sqref="R42"/>
      <pageMargins left="0.7" right="0.7" top="0.75" bottom="0.75" header="0.3" footer="0.3"/>
      <pageSetup paperSize="9" orientation="portrait" verticalDpi="0" r:id="rId1"/>
    </customSheetView>
  </customSheetViews>
  <mergeCells count="174">
    <mergeCell ref="P107:S107"/>
    <mergeCell ref="H108:I108"/>
    <mergeCell ref="H109:I109"/>
    <mergeCell ref="H110:I110"/>
    <mergeCell ref="H111:I111"/>
    <mergeCell ref="H112:I112"/>
    <mergeCell ref="AL8:AN8"/>
    <mergeCell ref="AO9:AP9"/>
    <mergeCell ref="AH2:AH3"/>
    <mergeCell ref="A47:A49"/>
    <mergeCell ref="B47:K47"/>
    <mergeCell ref="B84:P84"/>
    <mergeCell ref="N52:P52"/>
    <mergeCell ref="A51:A53"/>
    <mergeCell ref="AI11:AJ11"/>
    <mergeCell ref="V19:W19"/>
    <mergeCell ref="AA15:AB15"/>
    <mergeCell ref="AA16:AB16"/>
    <mergeCell ref="V17:W17"/>
    <mergeCell ref="A82:A83"/>
    <mergeCell ref="E24:G24"/>
    <mergeCell ref="C26:D26"/>
    <mergeCell ref="A59:A74"/>
    <mergeCell ref="B60:R60"/>
    <mergeCell ref="B81:P81"/>
    <mergeCell ref="B82:P82"/>
    <mergeCell ref="B78:P78"/>
    <mergeCell ref="J67:N67"/>
    <mergeCell ref="C64:F64"/>
    <mergeCell ref="C66:F66"/>
    <mergeCell ref="J66:N66"/>
    <mergeCell ref="B87:P87"/>
    <mergeCell ref="B83:N83"/>
    <mergeCell ref="B77:P77"/>
    <mergeCell ref="L28:M28"/>
    <mergeCell ref="E27:G27"/>
    <mergeCell ref="B44:E44"/>
    <mergeCell ref="F44:G44"/>
    <mergeCell ref="H44:K44"/>
    <mergeCell ref="L44:M44"/>
    <mergeCell ref="N48:P48"/>
    <mergeCell ref="B80:P80"/>
    <mergeCell ref="C67:F67"/>
    <mergeCell ref="B54:P54"/>
    <mergeCell ref="B55:P55"/>
    <mergeCell ref="N47:P47"/>
    <mergeCell ref="B48:K48"/>
    <mergeCell ref="O44:P44"/>
    <mergeCell ref="Q28:S28"/>
    <mergeCell ref="B79:P79"/>
    <mergeCell ref="B59:R59"/>
    <mergeCell ref="J52:K52"/>
    <mergeCell ref="G52:I52"/>
    <mergeCell ref="B75:R75"/>
    <mergeCell ref="B76:P76"/>
    <mergeCell ref="B43:P43"/>
    <mergeCell ref="R30:S30"/>
    <mergeCell ref="R31:S31"/>
    <mergeCell ref="B42:C42"/>
    <mergeCell ref="N53:P53"/>
    <mergeCell ref="J53:K53"/>
    <mergeCell ref="A41:P41"/>
    <mergeCell ref="C28:G28"/>
    <mergeCell ref="B49:K49"/>
    <mergeCell ref="Q61:R70"/>
    <mergeCell ref="C62:F62"/>
    <mergeCell ref="J62:N62"/>
    <mergeCell ref="Q51:R53"/>
    <mergeCell ref="B51:I51"/>
    <mergeCell ref="J51:K51"/>
    <mergeCell ref="N51:P51"/>
    <mergeCell ref="Q42:R42"/>
    <mergeCell ref="Q27:S27"/>
    <mergeCell ref="R26:U26"/>
    <mergeCell ref="Q47:R48"/>
    <mergeCell ref="J61:N61"/>
    <mergeCell ref="C63:F63"/>
    <mergeCell ref="J63:N63"/>
    <mergeCell ref="C61:F61"/>
    <mergeCell ref="J91:Q91"/>
    <mergeCell ref="A1:S1"/>
    <mergeCell ref="P2:Q3"/>
    <mergeCell ref="R2:R3"/>
    <mergeCell ref="P5:R5"/>
    <mergeCell ref="B45:P45"/>
    <mergeCell ref="B46:P46"/>
    <mergeCell ref="J64:N64"/>
    <mergeCell ref="B56:P56"/>
    <mergeCell ref="B58:P58"/>
    <mergeCell ref="B57:P57"/>
    <mergeCell ref="N49:P49"/>
    <mergeCell ref="B52:C53"/>
    <mergeCell ref="D52:F52"/>
    <mergeCell ref="D53:F53"/>
    <mergeCell ref="G53:I53"/>
    <mergeCell ref="C27:D27"/>
    <mergeCell ref="AA4:AB4"/>
    <mergeCell ref="V2:Z2"/>
    <mergeCell ref="AA2:AE2"/>
    <mergeCell ref="V3:X3"/>
    <mergeCell ref="Y3:Z3"/>
    <mergeCell ref="AA3:AB3"/>
    <mergeCell ref="AA5:AB5"/>
    <mergeCell ref="D5:D6"/>
    <mergeCell ref="C5:C6"/>
    <mergeCell ref="AA6:AB6"/>
    <mergeCell ref="AA7:AB7"/>
    <mergeCell ref="B24:D24"/>
    <mergeCell ref="AA9:AD9"/>
    <mergeCell ref="AA10:AB10"/>
    <mergeCell ref="AA11:AB11"/>
    <mergeCell ref="AA12:AB12"/>
    <mergeCell ref="AA13:AB13"/>
    <mergeCell ref="AA14:AB14"/>
    <mergeCell ref="E26:G26"/>
    <mergeCell ref="E21:G21"/>
    <mergeCell ref="J19:L19"/>
    <mergeCell ref="M19:O19"/>
    <mergeCell ref="C20:D20"/>
    <mergeCell ref="E20:G20"/>
    <mergeCell ref="B21:D21"/>
    <mergeCell ref="E23:G23"/>
    <mergeCell ref="E22:G22"/>
    <mergeCell ref="E25:G25"/>
    <mergeCell ref="B23:D23"/>
    <mergeCell ref="B22:D22"/>
    <mergeCell ref="N100:O100"/>
    <mergeCell ref="N92:Q92"/>
    <mergeCell ref="A95:B95"/>
    <mergeCell ref="A96:B96"/>
    <mergeCell ref="A97:B97"/>
    <mergeCell ref="A98:B98"/>
    <mergeCell ref="E99:G99"/>
    <mergeCell ref="I99:J99"/>
    <mergeCell ref="N99:O99"/>
    <mergeCell ref="E97:G97"/>
    <mergeCell ref="N97:O97"/>
    <mergeCell ref="E98:G98"/>
    <mergeCell ref="B92:K92"/>
    <mergeCell ref="B93:D93"/>
    <mergeCell ref="N94:O94"/>
    <mergeCell ref="N98:O98"/>
    <mergeCell ref="E95:G95"/>
    <mergeCell ref="J94:M94"/>
    <mergeCell ref="E94:I94"/>
    <mergeCell ref="E96:G96"/>
    <mergeCell ref="N96:O96"/>
    <mergeCell ref="A99:B99"/>
    <mergeCell ref="N95:O95"/>
    <mergeCell ref="J98:K98"/>
    <mergeCell ref="A102:Q102"/>
    <mergeCell ref="A2:B2"/>
    <mergeCell ref="L4:M4"/>
    <mergeCell ref="AJ12:AK13"/>
    <mergeCell ref="B104:P104"/>
    <mergeCell ref="B50:P50"/>
    <mergeCell ref="O101:Q101"/>
    <mergeCell ref="B88:P88"/>
    <mergeCell ref="B89:P89"/>
    <mergeCell ref="B90:P90"/>
    <mergeCell ref="B71:P71"/>
    <mergeCell ref="B72:P72"/>
    <mergeCell ref="B73:P73"/>
    <mergeCell ref="B74:P74"/>
    <mergeCell ref="C68:F68"/>
    <mergeCell ref="J68:N68"/>
    <mergeCell ref="C69:F69"/>
    <mergeCell ref="J69:N69"/>
    <mergeCell ref="B70:N70"/>
    <mergeCell ref="C65:F65"/>
    <mergeCell ref="J65:N65"/>
    <mergeCell ref="J96:K96"/>
    <mergeCell ref="J97:K97"/>
    <mergeCell ref="J95:K95"/>
  </mergeCells>
  <dataValidations disablePrompts="1" count="1">
    <dataValidation type="list" allowBlank="1" showInputMessage="1" showErrorMessage="1" prompt="CHOOSE OLD REGIME OR NEW REGIME FROM DROPDOWN" sqref="R41" xr:uid="{00000000-0002-0000-0800-000000000000}">
      <formula1>"OLD REGIME,NEW REGIME"</formula1>
    </dataValidation>
  </dataValidations>
  <pageMargins left="0.7" right="0.7" top="0.75" bottom="0.75" header="0.3" footer="0.3"/>
  <pageSetup paperSize="9" orientation="portrait" verticalDpi="1200"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2060"/>
  </sheetPr>
  <dimension ref="A1:N26"/>
  <sheetViews>
    <sheetView showGridLines="0" workbookViewId="0">
      <selection activeCell="K4" sqref="K4"/>
    </sheetView>
  </sheetViews>
  <sheetFormatPr defaultRowHeight="14.4"/>
  <cols>
    <col min="1" max="1" width="3.21875" customWidth="1"/>
    <col min="2" max="2" width="17.44140625" customWidth="1"/>
    <col min="3" max="3" width="11.77734375" style="6" customWidth="1"/>
    <col min="4" max="5" width="10" hidden="1" customWidth="1"/>
    <col min="6" max="6" width="10" customWidth="1"/>
    <col min="7" max="7" width="5.21875" customWidth="1"/>
    <col min="8" max="8" width="13.44140625" customWidth="1"/>
    <col min="9" max="9" width="16.44140625" customWidth="1"/>
    <col min="10" max="11" width="15.21875" customWidth="1"/>
    <col min="12" max="12" width="24.77734375" style="1" customWidth="1"/>
    <col min="13" max="13" width="24.44140625" style="1" customWidth="1"/>
    <col min="14" max="14" width="3.21875" customWidth="1"/>
  </cols>
  <sheetData>
    <row r="1" spans="1:14" ht="15" thickBot="1">
      <c r="A1" s="449"/>
      <c r="B1" s="449"/>
      <c r="C1" s="449"/>
      <c r="D1" s="449"/>
      <c r="E1" s="449"/>
      <c r="F1" s="449"/>
      <c r="G1" s="449"/>
      <c r="H1" s="449"/>
      <c r="I1" s="449"/>
      <c r="J1" s="449"/>
      <c r="K1" s="449"/>
      <c r="L1" s="449"/>
      <c r="M1" s="449"/>
      <c r="N1" s="449"/>
    </row>
    <row r="2" spans="1:14">
      <c r="A2" s="449"/>
      <c r="B2" s="462"/>
      <c r="C2" s="463"/>
      <c r="D2" s="464"/>
      <c r="E2" s="464"/>
      <c r="F2" s="464"/>
      <c r="G2" s="464"/>
      <c r="H2" s="464"/>
      <c r="I2" s="464"/>
      <c r="J2" s="464"/>
      <c r="K2" s="464"/>
      <c r="L2" s="465"/>
      <c r="M2" s="466"/>
      <c r="N2" s="449"/>
    </row>
    <row r="3" spans="1:14" ht="25.2" thickBot="1">
      <c r="A3" s="449"/>
      <c r="B3" s="467"/>
      <c r="F3" s="1115" t="s">
        <v>196</v>
      </c>
      <c r="G3" s="1115"/>
      <c r="H3" s="1115"/>
      <c r="I3" s="1115"/>
      <c r="J3" s="1115"/>
      <c r="K3" s="1115"/>
      <c r="L3" s="1115"/>
      <c r="M3" s="468"/>
      <c r="N3" s="449"/>
    </row>
    <row r="4" spans="1:14" ht="36" customHeight="1" thickTop="1" thickBot="1">
      <c r="A4" s="449"/>
      <c r="B4" s="467"/>
      <c r="H4" s="1131" t="s">
        <v>912</v>
      </c>
      <c r="I4" s="1131"/>
      <c r="J4" s="1131"/>
      <c r="K4" s="481" t="s">
        <v>996</v>
      </c>
      <c r="L4" s="599" t="s">
        <v>913</v>
      </c>
      <c r="M4" s="468"/>
      <c r="N4" s="449"/>
    </row>
    <row r="5" spans="1:14" ht="61.5" customHeight="1" thickTop="1" thickBot="1">
      <c r="A5" s="449"/>
      <c r="B5" s="675" t="s">
        <v>652</v>
      </c>
      <c r="C5" s="677"/>
      <c r="D5" s="461"/>
      <c r="E5" s="461"/>
      <c r="F5" s="1129">
        <v>300000</v>
      </c>
      <c r="G5" s="1129"/>
      <c r="H5" s="519" t="s">
        <v>653</v>
      </c>
      <c r="I5" s="481" t="s">
        <v>950</v>
      </c>
      <c r="J5" s="531">
        <f>IF(HRA!I5="Yearly",Master!E27,Master!H27)</f>
        <v>0</v>
      </c>
      <c r="K5" s="6"/>
      <c r="L5" s="530" t="s">
        <v>205</v>
      </c>
      <c r="M5" s="598">
        <f>IF(HRA!I5="Yearly",Master!E26,Master!H26)</f>
        <v>0</v>
      </c>
      <c r="N5" s="449"/>
    </row>
    <row r="6" spans="1:14" ht="15" thickTop="1">
      <c r="A6" s="449"/>
      <c r="B6" s="467"/>
      <c r="D6" s="6"/>
      <c r="E6" s="6"/>
      <c r="F6" s="6"/>
      <c r="G6" s="6"/>
      <c r="H6" s="6"/>
      <c r="I6" s="6"/>
      <c r="J6" s="6"/>
      <c r="K6" s="6"/>
      <c r="L6" s="6"/>
      <c r="M6" s="468"/>
      <c r="N6" s="449"/>
    </row>
    <row r="7" spans="1:14" ht="15" thickBot="1">
      <c r="A7" s="449"/>
      <c r="B7" s="467"/>
      <c r="D7" s="6"/>
      <c r="E7" s="6"/>
      <c r="F7" s="6"/>
      <c r="G7" s="6"/>
      <c r="H7" s="1130" t="s">
        <v>630</v>
      </c>
      <c r="I7" s="1130"/>
      <c r="J7" s="1130"/>
      <c r="K7" s="1130"/>
      <c r="L7" s="1130"/>
      <c r="M7" s="468"/>
      <c r="N7" s="449"/>
    </row>
    <row r="8" spans="1:14" ht="15.6" thickTop="1" thickBot="1">
      <c r="A8" s="449"/>
      <c r="B8" s="1116" t="s">
        <v>191</v>
      </c>
      <c r="C8" s="1117"/>
      <c r="M8" s="468"/>
      <c r="N8" s="449"/>
    </row>
    <row r="9" spans="1:14" ht="14.55" customHeight="1">
      <c r="A9" s="449"/>
      <c r="B9" s="469" t="s">
        <v>192</v>
      </c>
      <c r="C9" s="10" t="s">
        <v>195</v>
      </c>
      <c r="D9" s="5" t="s">
        <v>193</v>
      </c>
      <c r="E9" s="5" t="s">
        <v>103</v>
      </c>
      <c r="I9" s="134" t="s">
        <v>468</v>
      </c>
      <c r="J9" s="139" t="s">
        <v>473</v>
      </c>
      <c r="L9" s="1104" t="s">
        <v>518</v>
      </c>
      <c r="M9" s="1105"/>
      <c r="N9" s="449"/>
    </row>
    <row r="10" spans="1:14" ht="16.05" customHeight="1" thickBot="1">
      <c r="A10" s="449"/>
      <c r="B10" s="623">
        <v>45352</v>
      </c>
      <c r="C10" s="25" t="s">
        <v>476</v>
      </c>
      <c r="D10" s="9">
        <f>IF(C10="YES",SUM(Salary!D10:E10,Salary!D28:E28),0)</f>
        <v>0</v>
      </c>
      <c r="E10" s="7">
        <f>IF(C10="YES",SUM(Salary!F10,Salary!F28),0)</f>
        <v>0</v>
      </c>
      <c r="H10" s="135" t="s">
        <v>469</v>
      </c>
      <c r="I10" s="135"/>
      <c r="J10" s="136"/>
      <c r="K10" s="136"/>
      <c r="L10" s="1104"/>
      <c r="M10" s="1105"/>
      <c r="N10" s="449"/>
    </row>
    <row r="11" spans="1:14" ht="16.05" customHeight="1" thickTop="1" thickBot="1">
      <c r="A11" s="449"/>
      <c r="B11" s="623">
        <v>45383</v>
      </c>
      <c r="C11" s="25" t="s">
        <v>476</v>
      </c>
      <c r="D11" s="9">
        <f>IF(C11="YES",SUM(Salary!D11:E11),0)</f>
        <v>0</v>
      </c>
      <c r="E11" s="7">
        <f>IF(C11="YES",Salary!F11,0)</f>
        <v>0</v>
      </c>
      <c r="G11" s="1121" t="s">
        <v>198</v>
      </c>
      <c r="H11" s="1122"/>
      <c r="I11" s="1122"/>
      <c r="J11" s="1123"/>
      <c r="K11" s="1123"/>
      <c r="L11" s="1124"/>
      <c r="M11" s="12" t="str">
        <f>HRA!I5</f>
        <v>Yearly</v>
      </c>
      <c r="N11" s="449"/>
    </row>
    <row r="12" spans="1:14" ht="16.05" customHeight="1" thickTop="1" thickBot="1">
      <c r="A12" s="449"/>
      <c r="B12" s="623">
        <v>45413</v>
      </c>
      <c r="C12" s="25" t="s">
        <v>476</v>
      </c>
      <c r="D12" s="9">
        <f>IF(C12="YES",SUM(Salary!D12:E12),0)</f>
        <v>0</v>
      </c>
      <c r="E12" s="7">
        <f>IF(C12="YES",Salary!F12,0)</f>
        <v>0</v>
      </c>
      <c r="J12" s="1128" t="s">
        <v>225</v>
      </c>
      <c r="K12" s="1128"/>
      <c r="L12" s="138">
        <f>IF($M$11="Yearly",Master!E20,"-")</f>
        <v>0</v>
      </c>
      <c r="M12" s="468" t="str">
        <f>IF($M$11="Partially",Master!H20,"-")</f>
        <v>-</v>
      </c>
      <c r="N12" s="449"/>
    </row>
    <row r="13" spans="1:14" ht="16.05" customHeight="1" thickTop="1" thickBot="1">
      <c r="A13" s="449"/>
      <c r="B13" s="623">
        <v>45444</v>
      </c>
      <c r="C13" s="25" t="s">
        <v>476</v>
      </c>
      <c r="D13" s="9">
        <f>IF(C13="YES",SUM(Salary!D13:E13),0)</f>
        <v>0</v>
      </c>
      <c r="E13" s="7">
        <f>IF(C13="YES",Salary!F13,0)</f>
        <v>0</v>
      </c>
      <c r="G13" s="1106" t="s">
        <v>199</v>
      </c>
      <c r="H13" s="1107"/>
      <c r="I13" s="1107"/>
      <c r="J13" s="1108"/>
      <c r="K13" s="1109"/>
      <c r="L13" s="137" t="str">
        <f>IF(M11="Yearly","Complete year HRA exemption","-")</f>
        <v>Complete year HRA exemption</v>
      </c>
      <c r="M13" s="470" t="str">
        <f>IF(M11="Partially","Partial HRA exemption","-")</f>
        <v>-</v>
      </c>
      <c r="N13" s="449"/>
    </row>
    <row r="14" spans="1:14" ht="16.05" customHeight="1" thickTop="1">
      <c r="A14" s="449"/>
      <c r="B14" s="623">
        <v>45474</v>
      </c>
      <c r="C14" s="25" t="s">
        <v>476</v>
      </c>
      <c r="D14" s="9">
        <f>IF(C14="YES",SUM(Salary!D14:E14,Master!E30),0)</f>
        <v>0</v>
      </c>
      <c r="E14" s="7">
        <f>IF(C14="YES",Salary!F14,0)</f>
        <v>0</v>
      </c>
      <c r="G14" s="11"/>
      <c r="H14" s="1125" t="s">
        <v>197</v>
      </c>
      <c r="I14" s="1126"/>
      <c r="J14" s="1126"/>
      <c r="K14" s="1127"/>
      <c r="L14" s="2">
        <f>IF(M11="Yearly",HRA!F5,"-")</f>
        <v>300000</v>
      </c>
      <c r="M14" s="471" t="str">
        <f>IF(M11="Partially",HRA!F5,"-")</f>
        <v>-</v>
      </c>
      <c r="N14" s="449"/>
    </row>
    <row r="15" spans="1:14" ht="16.05" customHeight="1">
      <c r="A15" s="449"/>
      <c r="B15" s="623">
        <v>45505</v>
      </c>
      <c r="C15" s="25" t="s">
        <v>476</v>
      </c>
      <c r="D15" s="9">
        <f>IF(C15="YES",SUM(Salary!D15:E15,Master!E31),0)</f>
        <v>0</v>
      </c>
      <c r="E15" s="7">
        <f>IF(C15="YES",Salary!F15,0)</f>
        <v>0</v>
      </c>
      <c r="G15" s="11" t="s">
        <v>186</v>
      </c>
      <c r="H15" s="1118" t="s">
        <v>188</v>
      </c>
      <c r="I15" s="1119"/>
      <c r="J15" s="1119"/>
      <c r="K15" s="1120"/>
      <c r="L15" s="3">
        <f>IF(M11="Yearly",Master!E21,"-")</f>
        <v>0</v>
      </c>
      <c r="M15" s="472" t="str">
        <f>IF(M11="Partially",E22,"-")</f>
        <v>-</v>
      </c>
      <c r="N15" s="449"/>
    </row>
    <row r="16" spans="1:14" ht="16.05" customHeight="1">
      <c r="A16" s="449"/>
      <c r="B16" s="623">
        <v>45536</v>
      </c>
      <c r="C16" s="25" t="s">
        <v>476</v>
      </c>
      <c r="D16" s="9">
        <f>IF(C16="YES",SUM(Salary!D16:E16,Master!E32),0)</f>
        <v>0</v>
      </c>
      <c r="E16" s="7">
        <f>IF(C16="YES",Salary!F16,0)</f>
        <v>0</v>
      </c>
      <c r="G16" s="11" t="s">
        <v>187</v>
      </c>
      <c r="H16" s="1112" t="s">
        <v>190</v>
      </c>
      <c r="I16" s="1113"/>
      <c r="J16" s="1113"/>
      <c r="K16" s="1114"/>
      <c r="L16" s="4">
        <f>IF(M11="Yearly",IF(Master!$E$24&gt;0,Master!$E$24,0),"-")</f>
        <v>300000</v>
      </c>
      <c r="M16" s="472" t="str">
        <f>IF(M11="Partially",IF(Master!$H$24&gt;0,Master!$H$24,0),"-")</f>
        <v>-</v>
      </c>
      <c r="N16" s="449"/>
    </row>
    <row r="17" spans="1:14" ht="16.05" customHeight="1" thickBot="1">
      <c r="A17" s="449"/>
      <c r="B17" s="623">
        <v>45566</v>
      </c>
      <c r="C17" s="25" t="s">
        <v>476</v>
      </c>
      <c r="D17" s="9">
        <f>IF(C17="YES",SUM(Salary!D17:E17),0)</f>
        <v>0</v>
      </c>
      <c r="E17" s="7">
        <f>IF(C17="YES",Salary!F17,0)</f>
        <v>0</v>
      </c>
      <c r="G17" s="11" t="s">
        <v>223</v>
      </c>
      <c r="H17" s="1112" t="str">
        <f>IF(J9="NON METRO","वेतन (मूल +मंहगाई भत्ता ) का  40%","वेतन (मूल +मंहगाई भत्ता ) का  50%")</f>
        <v>वेतन (मूल +मंहगाई भत्ता ) का  40%</v>
      </c>
      <c r="I17" s="1113"/>
      <c r="J17" s="1113"/>
      <c r="K17" s="1114"/>
      <c r="L17" s="8">
        <f>IF(M11="Yearly",IF(Master!$E$25&gt;0,Master!$E$25,0),"-")</f>
        <v>0</v>
      </c>
      <c r="M17" s="473" t="str">
        <f>IF(M11="Partially",IF(Master!$H$25&gt;0,Master!$H$25,0),"-")</f>
        <v>-</v>
      </c>
      <c r="N17" s="449"/>
    </row>
    <row r="18" spans="1:14" ht="16.05" customHeight="1" thickBot="1">
      <c r="A18" s="449"/>
      <c r="B18" s="623">
        <v>45597</v>
      </c>
      <c r="C18" s="25" t="s">
        <v>476</v>
      </c>
      <c r="D18" s="9">
        <f>IF(C18="YES",SUM(Salary!D18:E18),0)</f>
        <v>0</v>
      </c>
      <c r="E18" s="7">
        <f>IF(C18="YES",Salary!F18,0)</f>
        <v>0</v>
      </c>
      <c r="G18" s="1101" t="s">
        <v>226</v>
      </c>
      <c r="H18" s="1102"/>
      <c r="I18" s="1102"/>
      <c r="J18" s="1102"/>
      <c r="K18" s="1103"/>
      <c r="L18" s="13">
        <f>IF(M11="Yearly",Master!$E$27,"-")</f>
        <v>0</v>
      </c>
      <c r="M18" s="474" t="str">
        <f>IF(M11="Partially",Master!$H$27,"-")</f>
        <v>-</v>
      </c>
      <c r="N18" s="449"/>
    </row>
    <row r="19" spans="1:14" ht="16.05" customHeight="1" thickTop="1">
      <c r="A19" s="449"/>
      <c r="B19" s="623">
        <v>45627</v>
      </c>
      <c r="C19" s="25" t="s">
        <v>476</v>
      </c>
      <c r="D19" s="9">
        <f>IF(C19="YES",SUM(Salary!D19:E19),0)</f>
        <v>0</v>
      </c>
      <c r="E19" s="7">
        <f>IF(C19="YES",Salary!F19,0)</f>
        <v>0</v>
      </c>
      <c r="M19" s="468"/>
      <c r="N19" s="449"/>
    </row>
    <row r="20" spans="1:14" ht="16.05" customHeight="1">
      <c r="A20" s="449"/>
      <c r="B20" s="623">
        <v>45658</v>
      </c>
      <c r="C20" s="25" t="s">
        <v>476</v>
      </c>
      <c r="D20" s="9">
        <f>IF(C20="YES",SUM(Salary!D20:E20),0)</f>
        <v>0</v>
      </c>
      <c r="E20" s="7">
        <f>IF(C20="YES",Salary!F20,0)</f>
        <v>0</v>
      </c>
      <c r="M20" s="468"/>
      <c r="N20" s="449"/>
    </row>
    <row r="21" spans="1:14" ht="16.05" customHeight="1">
      <c r="A21" s="449"/>
      <c r="B21" s="623">
        <v>45689</v>
      </c>
      <c r="C21" s="25" t="s">
        <v>476</v>
      </c>
      <c r="D21" s="9">
        <f>IF(C21="YES",SUM(Salary!D21:E21),0)</f>
        <v>0</v>
      </c>
      <c r="E21" s="7">
        <f>IF(C21="YES",Salary!F21,0)</f>
        <v>0</v>
      </c>
      <c r="M21" s="475"/>
      <c r="N21" s="449"/>
    </row>
    <row r="22" spans="1:14">
      <c r="A22" s="449"/>
      <c r="B22" s="467"/>
      <c r="D22" s="9">
        <f>SUM(D10:D21)</f>
        <v>0</v>
      </c>
      <c r="E22" s="9">
        <f>SUM(E10:E21)</f>
        <v>0</v>
      </c>
      <c r="F22" s="172"/>
      <c r="M22" s="468"/>
      <c r="N22" s="449"/>
    </row>
    <row r="23" spans="1:14" ht="14.55" customHeight="1">
      <c r="A23" s="449"/>
      <c r="B23" s="1110" t="s">
        <v>200</v>
      </c>
      <c r="C23" s="1111"/>
      <c r="D23" s="1111"/>
      <c r="E23" s="1111"/>
      <c r="F23" s="1111"/>
      <c r="G23" s="1111"/>
      <c r="H23" s="1111"/>
      <c r="M23" s="468"/>
      <c r="N23" s="449"/>
    </row>
    <row r="24" spans="1:14">
      <c r="A24" s="449"/>
      <c r="B24" s="1110"/>
      <c r="C24" s="1111"/>
      <c r="D24" s="1111"/>
      <c r="E24" s="1111"/>
      <c r="F24" s="1111"/>
      <c r="G24" s="1111"/>
      <c r="H24" s="1111"/>
      <c r="M24" s="468"/>
      <c r="N24" s="449"/>
    </row>
    <row r="25" spans="1:14" ht="15" thickBot="1">
      <c r="A25" s="449"/>
      <c r="B25" s="476"/>
      <c r="C25" s="477"/>
      <c r="D25" s="478"/>
      <c r="E25" s="478"/>
      <c r="F25" s="478"/>
      <c r="G25" s="478"/>
      <c r="H25" s="478"/>
      <c r="I25" s="478"/>
      <c r="J25" s="478"/>
      <c r="K25" s="478"/>
      <c r="L25" s="479"/>
      <c r="M25" s="480"/>
      <c r="N25" s="449"/>
    </row>
    <row r="26" spans="1:14">
      <c r="A26" s="449"/>
      <c r="B26" s="449"/>
      <c r="C26" s="449"/>
      <c r="D26" s="449"/>
      <c r="E26" s="449"/>
      <c r="F26" s="449"/>
      <c r="G26" s="449"/>
      <c r="H26" s="449"/>
      <c r="I26" s="449"/>
      <c r="J26" s="449"/>
      <c r="K26" s="449"/>
      <c r="L26" s="449"/>
      <c r="M26" s="449"/>
      <c r="N26" s="449"/>
    </row>
  </sheetData>
  <sheetProtection algorithmName="SHA-512" hashValue="8KmBGs3C6cfzTmWMYMsmCRifoHGO6DK7l9kxaoG698eayWszEcaoIj79KAqH6ha6qgee4xdLga9B2jbhb/+P4g==" saltValue="XT5wsAkVmIdN8Uq72h4Jaw==" spinCount="100000" sheet="1" objects="1" scenarios="1" formatColumns="0" formatRows="0" selectLockedCells="1"/>
  <customSheetViews>
    <customSheetView guid="{1E5138D0-1BD0-4D7E-A5B4-E19521ADA196}" showGridLines="0" hiddenColumns="1">
      <selection activeCell="H17" sqref="H17"/>
      <pageMargins left="0.7" right="0.7" top="0.75" bottom="0.75" header="0.3" footer="0.3"/>
      <pageSetup paperSize="9" orientation="portrait" verticalDpi="0" r:id="rId1"/>
    </customSheetView>
  </customSheetViews>
  <mergeCells count="16">
    <mergeCell ref="F3:L3"/>
    <mergeCell ref="B8:C8"/>
    <mergeCell ref="H15:K15"/>
    <mergeCell ref="H16:K16"/>
    <mergeCell ref="G11:L11"/>
    <mergeCell ref="H14:K14"/>
    <mergeCell ref="J12:K12"/>
    <mergeCell ref="B5:C5"/>
    <mergeCell ref="F5:G5"/>
    <mergeCell ref="H7:L7"/>
    <mergeCell ref="H4:J4"/>
    <mergeCell ref="G18:K18"/>
    <mergeCell ref="L9:M10"/>
    <mergeCell ref="G13:K13"/>
    <mergeCell ref="B23:H24"/>
    <mergeCell ref="H17:K17"/>
  </mergeCells>
  <phoneticPr fontId="45" type="noConversion"/>
  <conditionalFormatting sqref="C10:C21">
    <cfRule type="containsText" dxfId="0" priority="1" operator="containsText" text="no">
      <formula>NOT(ISERROR(SEARCH("no",C10)))</formula>
    </cfRule>
  </conditionalFormatting>
  <dataValidations xWindow="409" yWindow="547" count="5">
    <dataValidation type="list" allowBlank="1" showInputMessage="1" showErrorMessage="1" sqref="C10:C21" xr:uid="{00000000-0002-0000-0400-000000000000}">
      <formula1>"YES,NO"</formula1>
    </dataValidation>
    <dataValidation type="list" allowBlank="1" showInputMessage="1" showErrorMessage="1" sqref="J9" xr:uid="{00000000-0002-0000-0400-000001000000}">
      <formula1>"METRO,NON METRO"</formula1>
    </dataValidation>
    <dataValidation allowBlank="1" showInputMessage="1" showErrorMessage="1" promptTitle="FOR EXEMPTION" prompt="यदि HRA छूट लेना चाहते है आप द्वारा मकान किराया भुगतान की कुल राशि लिखे अन्यथा खाली छोड़े" sqref="F5:G5" xr:uid="{00000000-0002-0000-0400-000002000000}"/>
    <dataValidation type="list" allowBlank="1" showInputMessage="1" showErrorMessage="1" sqref="I5" xr:uid="{00000000-0002-0000-0400-000003000000}">
      <formula1>"Yearly,Partially"</formula1>
    </dataValidation>
    <dataValidation type="list" allowBlank="1" showInputMessage="1" showErrorMessage="1" sqref="K4" xr:uid="{00000000-0002-0000-0400-000004000000}">
      <formula1>"YES,NO "</formula1>
    </dataValidation>
  </dataValidation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INTRO</vt:lpstr>
      <vt:lpstr>Gen Info</vt:lpstr>
      <vt:lpstr>Pay &amp; Allowances</vt:lpstr>
      <vt:lpstr>Deductions</vt:lpstr>
      <vt:lpstr>Salary</vt:lpstr>
      <vt:lpstr>Assesment</vt:lpstr>
      <vt:lpstr>Sheet2</vt:lpstr>
      <vt:lpstr>Master</vt:lpstr>
      <vt:lpstr>HRA</vt:lpstr>
      <vt:lpstr>Form16</vt:lpstr>
      <vt:lpstr>us 89(1)</vt:lpstr>
      <vt:lpstr>Form 10E</vt:lpstr>
      <vt:lpstr>Control_10E</vt:lpstr>
      <vt:lpstr>RULES</vt:lpstr>
      <vt:lpstr>Sheet1</vt:lpstr>
      <vt:lpstr>Cader</vt:lpstr>
      <vt:lpstr>Pay_Leval</vt:lpstr>
      <vt:lpstr>Assesment!Print_Area</vt:lpstr>
      <vt:lpstr>'Form 10E'!Print_Area</vt:lpstr>
      <vt:lpstr>Form16!Print_Area</vt:lpstr>
      <vt:lpstr>Salary!Print_Area</vt:lpstr>
      <vt:lpstr>series_1_12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HANSRAJ JOSHI</cp:lastModifiedBy>
  <cp:lastPrinted>2024-10-31T06:54:46Z</cp:lastPrinted>
  <dcterms:created xsi:type="dcterms:W3CDTF">2020-10-15T03:18:00Z</dcterms:created>
  <dcterms:modified xsi:type="dcterms:W3CDTF">2024-10-31T07:19:14Z</dcterms:modified>
</cp:coreProperties>
</file>