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 codeName="{3D1A710C-6663-3D7B-7F91-EC182F24A4B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hp\OneDrive\Desktop\KC SOFTWARE\"/>
    </mc:Choice>
  </mc:AlternateContent>
  <xr:revisionPtr revIDLastSave="0" documentId="13_ncr:1_{884D7121-AAD0-4844-8F33-C7BA3A7996C7}" xr6:coauthVersionLast="36" xr6:coauthVersionMax="47" xr10:uidLastSave="{00000000-0000-0000-0000-000000000000}"/>
  <workbookProtection workbookAlgorithmName="SHA-512" workbookHashValue="q1S6WvF7f5jtZXiGskpGz7VDFxMEOZcJPzVSAUbfkxE68xtyAfAueHtMtrOZmRG+E1AFkatJiRZ74G1vtuZmrg==" workbookSaltValue="jH3jbgpQT70TRghaoL4JUA==" workbookSpinCount="100000" lockStructure="1"/>
  <bookViews>
    <workbookView xWindow="-120" yWindow="-120" windowWidth="24240" windowHeight="13020" xr2:uid="{7995638E-0642-4734-B7A8-B752EF229D18}"/>
  </bookViews>
  <sheets>
    <sheet name="Profile" sheetId="7" r:id="rId1"/>
    <sheet name="Salary" sheetId="2" r:id="rId2"/>
    <sheet name="IT calculation" sheetId="3" r:id="rId3"/>
    <sheet name="us(89)1 Form" sheetId="8" state="hidden" r:id="rId4"/>
    <sheet name="form10E" sheetId="11" state="hidden" r:id="rId5"/>
    <sheet name="control10E" sheetId="12" state="hidden" r:id="rId6"/>
    <sheet name="Form 16" sheetId="6" r:id="rId7"/>
    <sheet name="control" sheetId="5" state="hidden" r:id="rId8"/>
  </sheets>
  <functionGroups builtInGroupCount="19"/>
  <externalReferences>
    <externalReference r:id="rId9"/>
    <externalReference r:id="rId10"/>
  </externalReferences>
  <definedNames>
    <definedName name="_xlnm._FilterDatabase" localSheetId="0" hidden="1">Profile!$O$9:$P$9</definedName>
    <definedName name="NPS">control!$H$4:$I$15</definedName>
    <definedName name="_xlnm.Print_Area" localSheetId="6">'Form 16'!$A$1:$K$140</definedName>
    <definedName name="_xlnm.Print_Area" localSheetId="4">form10E!$A$1:$N$38</definedName>
    <definedName name="_xlnm.Print_Area" localSheetId="2">'IT calculation'!$A$1:$E$64</definedName>
    <definedName name="_xlnm.Print_Area" localSheetId="1">Salary!$A$1:$Z$27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" i="2" l="1"/>
  <c r="H25" i="2"/>
  <c r="I25" i="2"/>
  <c r="J25" i="2"/>
  <c r="M25" i="2"/>
  <c r="O25" i="2"/>
  <c r="Q25" i="2"/>
  <c r="R25" i="2"/>
  <c r="S25" i="2"/>
  <c r="T25" i="2"/>
  <c r="U25" i="2"/>
  <c r="V25" i="2"/>
  <c r="V7" i="2"/>
  <c r="S15" i="2"/>
  <c r="X22" i="2"/>
  <c r="X23" i="2"/>
  <c r="X24" i="2"/>
  <c r="W20" i="2"/>
  <c r="W22" i="2"/>
  <c r="W23" i="2"/>
  <c r="W24" i="2"/>
  <c r="K22" i="2"/>
  <c r="K23" i="2"/>
  <c r="K24" i="2"/>
  <c r="U7" i="2"/>
  <c r="U8" i="2"/>
  <c r="U9" i="2"/>
  <c r="U10" i="2"/>
  <c r="U11" i="2"/>
  <c r="U12" i="2"/>
  <c r="U13" i="2"/>
  <c r="U14" i="2"/>
  <c r="U15" i="2"/>
  <c r="U16" i="2"/>
  <c r="U17" i="2"/>
  <c r="Q17" i="2"/>
  <c r="Q16" i="2"/>
  <c r="Q15" i="2"/>
  <c r="Q14" i="2"/>
  <c r="Q13" i="2"/>
  <c r="Q12" i="2"/>
  <c r="Q11" i="2"/>
  <c r="Q10" i="2"/>
  <c r="Q9" i="2"/>
  <c r="Q8" i="2"/>
  <c r="Q7" i="2"/>
  <c r="U6" i="2"/>
  <c r="Q6" i="2"/>
  <c r="D6" i="3" l="1"/>
  <c r="C27" i="7" l="1"/>
  <c r="C28" i="7"/>
  <c r="C26" i="7"/>
  <c r="C10" i="3" l="1"/>
  <c r="E1" i="3"/>
  <c r="K29" i="2"/>
  <c r="O2" i="2"/>
  <c r="A16" i="3"/>
  <c r="L4" i="2" l="1"/>
  <c r="O3" i="5"/>
  <c r="O4" i="5"/>
  <c r="E29" i="3"/>
  <c r="D4" i="11"/>
  <c r="D2" i="8"/>
  <c r="D5" i="11" l="1"/>
  <c r="D3" i="11"/>
  <c r="E35" i="11"/>
  <c r="E34" i="11"/>
  <c r="E33" i="11"/>
  <c r="E32" i="11"/>
  <c r="C35" i="11"/>
  <c r="B7" i="12" s="1"/>
  <c r="D7" i="12" s="1"/>
  <c r="C34" i="11"/>
  <c r="B6" i="12" s="1"/>
  <c r="D6" i="12" s="1"/>
  <c r="C33" i="11"/>
  <c r="C32" i="11"/>
  <c r="B4" i="12" s="1"/>
  <c r="D4" i="12" s="1"/>
  <c r="E4" i="12" s="1"/>
  <c r="H4" i="12" s="1"/>
  <c r="I4" i="12" s="1"/>
  <c r="I32" i="11" s="1"/>
  <c r="L8" i="11"/>
  <c r="L21" i="11" s="1"/>
  <c r="G28" i="7"/>
  <c r="F138" i="6"/>
  <c r="F132" i="6"/>
  <c r="B132" i="6"/>
  <c r="C138" i="6"/>
  <c r="C133" i="6"/>
  <c r="B19" i="6"/>
  <c r="B18" i="6"/>
  <c r="B17" i="6"/>
  <c r="B16" i="6"/>
  <c r="C69" i="6"/>
  <c r="C63" i="6"/>
  <c r="G33" i="11" l="1"/>
  <c r="B10" i="12" s="1"/>
  <c r="D10" i="12" s="1"/>
  <c r="E10" i="12" s="1"/>
  <c r="H10" i="12" s="1"/>
  <c r="I10" i="12" s="1"/>
  <c r="K33" i="11" s="1"/>
  <c r="B5" i="12"/>
  <c r="D5" i="12" s="1"/>
  <c r="E5" i="12" s="1"/>
  <c r="H5" i="12" s="1"/>
  <c r="I5" i="12" s="1"/>
  <c r="I33" i="11" s="1"/>
  <c r="M33" i="11" s="1"/>
  <c r="E6" i="12"/>
  <c r="F6" i="12"/>
  <c r="E7" i="12"/>
  <c r="F7" i="12"/>
  <c r="G34" i="11"/>
  <c r="B11" i="12" s="1"/>
  <c r="D11" i="12" s="1"/>
  <c r="G32" i="11"/>
  <c r="B9" i="12" s="1"/>
  <c r="D9" i="12" s="1"/>
  <c r="E9" i="12" s="1"/>
  <c r="H9" i="12" s="1"/>
  <c r="I9" i="12" s="1"/>
  <c r="K32" i="11" s="1"/>
  <c r="M32" i="11" s="1"/>
  <c r="G35" i="11"/>
  <c r="B12" i="12" s="1"/>
  <c r="D12" i="12" s="1"/>
  <c r="F10" i="6"/>
  <c r="H117" i="6"/>
  <c r="H111" i="6"/>
  <c r="F118" i="6"/>
  <c r="H118" i="6" s="1"/>
  <c r="F117" i="6"/>
  <c r="F114" i="6"/>
  <c r="H114" i="6" s="1"/>
  <c r="F112" i="6"/>
  <c r="H112" i="6" s="1"/>
  <c r="F106" i="6"/>
  <c r="G6" i="12" l="1"/>
  <c r="H6" i="12" s="1"/>
  <c r="I6" i="12" s="1"/>
  <c r="I34" i="11" s="1"/>
  <c r="G7" i="12"/>
  <c r="H7" i="12" s="1"/>
  <c r="I7" i="12" s="1"/>
  <c r="I35" i="11" s="1"/>
  <c r="F12" i="12"/>
  <c r="E12" i="12"/>
  <c r="G12" i="12" s="1"/>
  <c r="H12" i="12" s="1"/>
  <c r="I12" i="12" s="1"/>
  <c r="K35" i="11" s="1"/>
  <c r="M35" i="11" s="1"/>
  <c r="F11" i="12"/>
  <c r="E11" i="12"/>
  <c r="F69" i="6"/>
  <c r="F19" i="6"/>
  <c r="I19" i="6" s="1"/>
  <c r="F18" i="6"/>
  <c r="I18" i="6" s="1"/>
  <c r="F17" i="6"/>
  <c r="I17" i="6" s="1"/>
  <c r="F16" i="6"/>
  <c r="I16" i="6" s="1"/>
  <c r="F62" i="6"/>
  <c r="B62" i="6"/>
  <c r="B37" i="6"/>
  <c r="B38" i="6"/>
  <c r="D10" i="6"/>
  <c r="A10" i="6"/>
  <c r="F8" i="6"/>
  <c r="F7" i="6"/>
  <c r="A7" i="6"/>
  <c r="J108" i="6"/>
  <c r="J104" i="6"/>
  <c r="A90" i="6"/>
  <c r="A80" i="6"/>
  <c r="F80" i="6"/>
  <c r="F74" i="6"/>
  <c r="B60" i="6"/>
  <c r="I39" i="6"/>
  <c r="F38" i="6"/>
  <c r="E38" i="6"/>
  <c r="D38" i="6"/>
  <c r="I38" i="6" s="1"/>
  <c r="F37" i="6"/>
  <c r="E37" i="6"/>
  <c r="D37" i="6"/>
  <c r="I37" i="6" s="1"/>
  <c r="F36" i="6"/>
  <c r="E36" i="6"/>
  <c r="D36" i="6"/>
  <c r="I36" i="6" s="1"/>
  <c r="F35" i="6"/>
  <c r="E35" i="6"/>
  <c r="D35" i="6"/>
  <c r="I35" i="6" s="1"/>
  <c r="F34" i="6"/>
  <c r="E34" i="6"/>
  <c r="D34" i="6"/>
  <c r="I34" i="6" s="1"/>
  <c r="F33" i="6"/>
  <c r="E33" i="6"/>
  <c r="D33" i="6"/>
  <c r="I33" i="6" s="1"/>
  <c r="F32" i="6"/>
  <c r="E32" i="6"/>
  <c r="D32" i="6"/>
  <c r="I32" i="6" s="1"/>
  <c r="F31" i="6"/>
  <c r="E31" i="6"/>
  <c r="D31" i="6"/>
  <c r="I31" i="6" s="1"/>
  <c r="F30" i="6"/>
  <c r="E30" i="6"/>
  <c r="D30" i="6"/>
  <c r="I30" i="6" s="1"/>
  <c r="F29" i="6"/>
  <c r="E29" i="6"/>
  <c r="D29" i="6"/>
  <c r="I29" i="6" s="1"/>
  <c r="F28" i="6"/>
  <c r="E28" i="6"/>
  <c r="D28" i="6"/>
  <c r="I28" i="6" s="1"/>
  <c r="F27" i="6"/>
  <c r="E27" i="6"/>
  <c r="D27" i="6"/>
  <c r="I27" i="6" s="1"/>
  <c r="F26" i="6"/>
  <c r="E26" i="6"/>
  <c r="D26" i="6"/>
  <c r="I26" i="6" s="1"/>
  <c r="F25" i="6"/>
  <c r="E25" i="6"/>
  <c r="D25" i="6"/>
  <c r="I25" i="6" s="1"/>
  <c r="E20" i="6"/>
  <c r="G17" i="5"/>
  <c r="H17" i="5"/>
  <c r="I17" i="5"/>
  <c r="J17" i="5"/>
  <c r="K17" i="5"/>
  <c r="L17" i="5"/>
  <c r="M17" i="5"/>
  <c r="F17" i="5"/>
  <c r="E17" i="5"/>
  <c r="D17" i="5"/>
  <c r="O10" i="5"/>
  <c r="E19" i="3" s="1"/>
  <c r="F103" i="6" s="1"/>
  <c r="O9" i="5"/>
  <c r="E17" i="3" s="1"/>
  <c r="F102" i="6" s="1"/>
  <c r="O8" i="5"/>
  <c r="O7" i="5"/>
  <c r="C23" i="3" s="1"/>
  <c r="O6" i="5"/>
  <c r="O5" i="5"/>
  <c r="P3" i="5"/>
  <c r="G11" i="12" l="1"/>
  <c r="H11" i="12" s="1"/>
  <c r="I11" i="12" s="1"/>
  <c r="K34" i="11" s="1"/>
  <c r="M34" i="11" s="1"/>
  <c r="M36" i="11" s="1"/>
  <c r="L26" i="11" s="1"/>
  <c r="B55" i="3"/>
  <c r="L6" i="5"/>
  <c r="L7" i="5"/>
  <c r="B58" i="3"/>
  <c r="L9" i="5"/>
  <c r="L8" i="5"/>
  <c r="D55" i="3"/>
  <c r="L12" i="5"/>
  <c r="D58" i="3"/>
  <c r="L15" i="5"/>
  <c r="L14" i="5"/>
  <c r="D54" i="3"/>
  <c r="L11" i="5"/>
  <c r="D56" i="3"/>
  <c r="L13" i="5"/>
  <c r="D53" i="3"/>
  <c r="L10" i="5"/>
  <c r="D57" i="3"/>
  <c r="F20" i="6"/>
  <c r="I20" i="6"/>
  <c r="B64" i="6" s="1"/>
  <c r="B57" i="3"/>
  <c r="B56" i="3"/>
  <c r="C64" i="6"/>
  <c r="B34" i="6" l="1"/>
  <c r="B36" i="6"/>
  <c r="B28" i="6"/>
  <c r="B29" i="6"/>
  <c r="B27" i="6"/>
  <c r="B31" i="6"/>
  <c r="B30" i="6"/>
  <c r="B33" i="6"/>
  <c r="B32" i="6"/>
  <c r="B35" i="6"/>
  <c r="K15" i="5" l="1"/>
  <c r="K14" i="5"/>
  <c r="K13" i="5"/>
  <c r="K12" i="5"/>
  <c r="K11" i="5"/>
  <c r="K10" i="5"/>
  <c r="K9" i="5"/>
  <c r="K8" i="5"/>
  <c r="K7" i="5"/>
  <c r="K6" i="5"/>
  <c r="K5" i="5"/>
  <c r="K4" i="5"/>
  <c r="E50" i="3"/>
  <c r="J129" i="6" s="1"/>
  <c r="E56" i="3"/>
  <c r="E55" i="3"/>
  <c r="E54" i="3"/>
  <c r="E24" i="3" l="1"/>
  <c r="F108" i="6" s="1"/>
  <c r="E23" i="3"/>
  <c r="F107" i="6" s="1"/>
  <c r="E18" i="3"/>
  <c r="C24" i="3"/>
  <c r="F101" i="6" s="1"/>
  <c r="C22" i="3"/>
  <c r="F100" i="6" s="1"/>
  <c r="C21" i="3"/>
  <c r="F99" i="6" s="1"/>
  <c r="C20" i="3"/>
  <c r="C26" i="3"/>
  <c r="A25" i="3"/>
  <c r="H85" i="6" l="1"/>
  <c r="J20" i="5"/>
  <c r="C33" i="5" l="1"/>
  <c r="B33" i="5"/>
  <c r="E30" i="3" l="1"/>
  <c r="F113" i="6" s="1"/>
  <c r="H113" i="6" s="1"/>
  <c r="C2" i="3" l="1"/>
  <c r="D2" i="3"/>
  <c r="C4" i="5"/>
  <c r="B17" i="5"/>
  <c r="C17" i="5"/>
  <c r="C19" i="5"/>
  <c r="C18" i="5"/>
  <c r="C19" i="3"/>
  <c r="F98" i="6" s="1"/>
  <c r="E32" i="3"/>
  <c r="F115" i="6" s="1"/>
  <c r="H115" i="6" s="1"/>
  <c r="E33" i="3"/>
  <c r="F116" i="6" s="1"/>
  <c r="H116" i="6" s="1"/>
  <c r="E36" i="3"/>
  <c r="F119" i="6" s="1"/>
  <c r="H119" i="6" s="1"/>
  <c r="E37" i="3"/>
  <c r="F121" i="6" s="1"/>
  <c r="H121" i="6" s="1"/>
  <c r="U4" i="5"/>
  <c r="D10" i="3"/>
  <c r="E89" i="6" s="1"/>
  <c r="A13" i="3"/>
  <c r="C13" i="3" s="1"/>
  <c r="B13" i="3"/>
  <c r="D13" i="3"/>
  <c r="D3" i="3"/>
  <c r="B3" i="3"/>
  <c r="A3" i="3"/>
  <c r="A2" i="3"/>
  <c r="H2" i="2"/>
  <c r="A2" i="2"/>
  <c r="N5" i="5" l="1"/>
  <c r="P7" i="2" s="1"/>
  <c r="N6" i="5"/>
  <c r="P8" i="2" s="1"/>
  <c r="N10" i="5"/>
  <c r="P12" i="2" s="1"/>
  <c r="H5" i="5"/>
  <c r="H9" i="5"/>
  <c r="H13" i="5"/>
  <c r="I4" i="5"/>
  <c r="N7" i="5"/>
  <c r="P9" i="2" s="1"/>
  <c r="N11" i="5"/>
  <c r="P13" i="2" s="1"/>
  <c r="N15" i="5"/>
  <c r="P17" i="2" s="1"/>
  <c r="H6" i="5"/>
  <c r="H10" i="5"/>
  <c r="H14" i="5"/>
  <c r="N8" i="5"/>
  <c r="P10" i="2" s="1"/>
  <c r="N12" i="5"/>
  <c r="P14" i="2" s="1"/>
  <c r="N4" i="5"/>
  <c r="P6" i="2" s="1"/>
  <c r="H7" i="5"/>
  <c r="H11" i="5"/>
  <c r="H15" i="5"/>
  <c r="N9" i="5"/>
  <c r="P11" i="2" s="1"/>
  <c r="N13" i="5"/>
  <c r="P15" i="2" s="1"/>
  <c r="M4" i="5"/>
  <c r="H8" i="5"/>
  <c r="H12" i="5"/>
  <c r="H4" i="5"/>
  <c r="N14" i="5"/>
  <c r="P16" i="2" s="1"/>
  <c r="E90" i="6"/>
  <c r="H90" i="6" s="1"/>
  <c r="L4" i="5"/>
  <c r="B53" i="3"/>
  <c r="L5" i="5"/>
  <c r="V5" i="5"/>
  <c r="G21" i="2" s="1"/>
  <c r="B54" i="3"/>
  <c r="R4" i="5"/>
  <c r="C5" i="5"/>
  <c r="J4" i="5"/>
  <c r="N6" i="2" s="1"/>
  <c r="K21" i="2" l="1"/>
  <c r="G25" i="2"/>
  <c r="P25" i="2"/>
  <c r="V6" i="5"/>
  <c r="L21" i="2" s="1"/>
  <c r="W21" i="2" s="1"/>
  <c r="B26" i="6"/>
  <c r="B25" i="6"/>
  <c r="E59" i="3"/>
  <c r="D4" i="5"/>
  <c r="C6" i="2" s="1"/>
  <c r="Z4" i="5"/>
  <c r="AA4" i="5" s="1"/>
  <c r="I5" i="5"/>
  <c r="M5" i="5"/>
  <c r="J5" i="5"/>
  <c r="N7" i="2" s="1"/>
  <c r="B23" i="5"/>
  <c r="H24" i="5" s="1"/>
  <c r="H25" i="5" s="1"/>
  <c r="I25" i="5" s="1"/>
  <c r="R5" i="5"/>
  <c r="C6" i="5"/>
  <c r="K16" i="5"/>
  <c r="W2" i="5" s="1"/>
  <c r="X21" i="2" l="1"/>
  <c r="N22" i="5"/>
  <c r="D18" i="2" s="1"/>
  <c r="K18" i="2" s="1"/>
  <c r="E4" i="5"/>
  <c r="D6" i="2" s="1"/>
  <c r="B40" i="6"/>
  <c r="F4" i="5"/>
  <c r="G4" i="5" s="1"/>
  <c r="E6" i="2" s="1"/>
  <c r="D5" i="5"/>
  <c r="C7" i="2" s="1"/>
  <c r="Z5" i="5"/>
  <c r="AA5" i="5" s="1"/>
  <c r="AB4" i="5"/>
  <c r="I6" i="5"/>
  <c r="M6" i="5"/>
  <c r="S4" i="5"/>
  <c r="R6" i="5"/>
  <c r="C7" i="5"/>
  <c r="I24" i="5"/>
  <c r="I26" i="5" s="1"/>
  <c r="J6" i="5"/>
  <c r="N8" i="2" s="1"/>
  <c r="K6" i="2" l="1"/>
  <c r="L18" i="2"/>
  <c r="W18" i="2" s="1"/>
  <c r="X18" i="2" s="1"/>
  <c r="E5" i="5"/>
  <c r="D7" i="2" s="1"/>
  <c r="F5" i="5"/>
  <c r="G5" i="5" s="1"/>
  <c r="E7" i="2" s="1"/>
  <c r="D6" i="5"/>
  <c r="C8" i="2" s="1"/>
  <c r="Z6" i="5"/>
  <c r="AA6" i="5" s="1"/>
  <c r="S5" i="5"/>
  <c r="T5" i="5" s="1"/>
  <c r="L7" i="2" s="1"/>
  <c r="W7" i="2" s="1"/>
  <c r="AB5" i="5"/>
  <c r="I20" i="5"/>
  <c r="K20" i="5" s="1"/>
  <c r="C18" i="3" s="1"/>
  <c r="F97" i="6" s="1"/>
  <c r="T4" i="5"/>
  <c r="L6" i="2" s="1"/>
  <c r="C12" i="5"/>
  <c r="M7" i="5"/>
  <c r="R7" i="5"/>
  <c r="C14" i="5"/>
  <c r="C13" i="5"/>
  <c r="C11" i="5"/>
  <c r="C15" i="5"/>
  <c r="C10" i="5"/>
  <c r="C8" i="5"/>
  <c r="J22" i="5" s="1"/>
  <c r="C9" i="5"/>
  <c r="J7" i="5"/>
  <c r="N9" i="2" s="1"/>
  <c r="I7" i="5"/>
  <c r="I27" i="5"/>
  <c r="I28" i="5"/>
  <c r="I29" i="5" s="1"/>
  <c r="K7" i="2" l="1"/>
  <c r="X7" i="2" s="1"/>
  <c r="W6" i="2"/>
  <c r="E6" i="5"/>
  <c r="D8" i="2" s="1"/>
  <c r="F6" i="5"/>
  <c r="G6" i="5" s="1"/>
  <c r="E8" i="2" s="1"/>
  <c r="D7" i="5"/>
  <c r="C9" i="2" s="1"/>
  <c r="Z7" i="5"/>
  <c r="AA7" i="5" s="1"/>
  <c r="S6" i="5"/>
  <c r="T6" i="5" s="1"/>
  <c r="L8" i="2" s="1"/>
  <c r="W8" i="2" s="1"/>
  <c r="AB6" i="5"/>
  <c r="M12" i="5"/>
  <c r="R8" i="5"/>
  <c r="Z8" i="5" s="1"/>
  <c r="AA8" i="5" s="1"/>
  <c r="J12" i="5"/>
  <c r="N14" i="2" s="1"/>
  <c r="I12" i="5"/>
  <c r="I15" i="5"/>
  <c r="M15" i="5"/>
  <c r="J10" i="5"/>
  <c r="N12" i="2" s="1"/>
  <c r="M10" i="5"/>
  <c r="M13" i="5"/>
  <c r="M9" i="5"/>
  <c r="M14" i="5"/>
  <c r="J11" i="5"/>
  <c r="N13" i="2" s="1"/>
  <c r="M11" i="5"/>
  <c r="I8" i="5"/>
  <c r="M8" i="5"/>
  <c r="I9" i="5"/>
  <c r="I11" i="5"/>
  <c r="J13" i="5"/>
  <c r="N15" i="2" s="1"/>
  <c r="J14" i="5"/>
  <c r="N16" i="2" s="1"/>
  <c r="I14" i="5"/>
  <c r="J8" i="5"/>
  <c r="N10" i="2" s="1"/>
  <c r="I10" i="5"/>
  <c r="I13" i="5"/>
  <c r="J15" i="5"/>
  <c r="N17" i="2" s="1"/>
  <c r="J9" i="5"/>
  <c r="N11" i="2" s="1"/>
  <c r="C16" i="5"/>
  <c r="J16" i="5" s="1"/>
  <c r="I30" i="5"/>
  <c r="B25" i="5" s="1"/>
  <c r="N25" i="2" l="1"/>
  <c r="K8" i="2"/>
  <c r="X8" i="2" s="1"/>
  <c r="X6" i="2"/>
  <c r="E7" i="5"/>
  <c r="D9" i="2" s="1"/>
  <c r="C17" i="3"/>
  <c r="F96" i="6" s="1"/>
  <c r="F7" i="5"/>
  <c r="G7" i="5" s="1"/>
  <c r="E9" i="2" s="1"/>
  <c r="S7" i="5"/>
  <c r="T7" i="5" s="1"/>
  <c r="L9" i="2" s="1"/>
  <c r="W9" i="2" s="1"/>
  <c r="D8" i="5"/>
  <c r="C10" i="2" s="1"/>
  <c r="AB7" i="5"/>
  <c r="R9" i="5"/>
  <c r="Z9" i="5" s="1"/>
  <c r="AA9" i="5" s="1"/>
  <c r="E16" i="5"/>
  <c r="H16" i="5" s="1"/>
  <c r="V16" i="5" s="1"/>
  <c r="V17" i="5" s="1"/>
  <c r="I16" i="5"/>
  <c r="F16" i="5"/>
  <c r="B32" i="5"/>
  <c r="B34" i="5" s="1"/>
  <c r="C32" i="5"/>
  <c r="C34" i="5" s="1"/>
  <c r="K9" i="2" l="1"/>
  <c r="X9" i="2" s="1"/>
  <c r="E8" i="5"/>
  <c r="D10" i="2" s="1"/>
  <c r="F8" i="5"/>
  <c r="G8" i="5" s="1"/>
  <c r="E10" i="2" s="1"/>
  <c r="AB8" i="5"/>
  <c r="D9" i="5"/>
  <c r="C11" i="2" s="1"/>
  <c r="R10" i="5"/>
  <c r="Z10" i="5" s="1"/>
  <c r="AA10" i="5" s="1"/>
  <c r="Y3" i="5"/>
  <c r="W16" i="5"/>
  <c r="C39" i="5"/>
  <c r="C37" i="5"/>
  <c r="C35" i="5"/>
  <c r="C40" i="5"/>
  <c r="C38" i="5"/>
  <c r="C36" i="5"/>
  <c r="C41" i="5"/>
  <c r="B40" i="5"/>
  <c r="B38" i="5"/>
  <c r="B35" i="5"/>
  <c r="B41" i="5"/>
  <c r="K10" i="2" l="1"/>
  <c r="E9" i="5"/>
  <c r="D11" i="2" s="1"/>
  <c r="F9" i="5"/>
  <c r="G9" i="5" s="1"/>
  <c r="E11" i="2" s="1"/>
  <c r="S8" i="5"/>
  <c r="AB9" i="5"/>
  <c r="R11" i="5"/>
  <c r="Z11" i="5" s="1"/>
  <c r="AA11" i="5" s="1"/>
  <c r="D10" i="5"/>
  <c r="C12" i="2" s="1"/>
  <c r="B44" i="5"/>
  <c r="B45" i="5" s="1"/>
  <c r="B46" i="5" s="1"/>
  <c r="C44" i="5"/>
  <c r="C45" i="5" s="1"/>
  <c r="C46" i="5" s="1"/>
  <c r="K11" i="2" l="1"/>
  <c r="E10" i="5"/>
  <c r="D12" i="2" s="1"/>
  <c r="F10" i="5"/>
  <c r="G10" i="5" s="1"/>
  <c r="E12" i="2" s="1"/>
  <c r="S9" i="5"/>
  <c r="T9" i="5" s="1"/>
  <c r="L11" i="2" s="1"/>
  <c r="W11" i="2" s="1"/>
  <c r="T8" i="5"/>
  <c r="L10" i="2" s="1"/>
  <c r="AB10" i="5"/>
  <c r="D11" i="5"/>
  <c r="C13" i="2" s="1"/>
  <c r="R12" i="5"/>
  <c r="X11" i="2" l="1"/>
  <c r="K12" i="2"/>
  <c r="W10" i="2"/>
  <c r="E11" i="5"/>
  <c r="D13" i="2" s="1"/>
  <c r="D12" i="5"/>
  <c r="Z12" i="5"/>
  <c r="AA12" i="5" s="1"/>
  <c r="F11" i="5"/>
  <c r="G11" i="5" s="1"/>
  <c r="E13" i="2" s="1"/>
  <c r="S10" i="5"/>
  <c r="AB11" i="5"/>
  <c r="R13" i="5"/>
  <c r="Z13" i="5" s="1"/>
  <c r="AA13" i="5" s="1"/>
  <c r="K13" i="2" l="1"/>
  <c r="X10" i="2"/>
  <c r="F12" i="5"/>
  <c r="G12" i="5" s="1"/>
  <c r="E14" i="2" s="1"/>
  <c r="C14" i="2"/>
  <c r="E12" i="5"/>
  <c r="D14" i="2" s="1"/>
  <c r="AF4" i="5"/>
  <c r="D20" i="2" s="1"/>
  <c r="AC4" i="5"/>
  <c r="AE4" i="5" s="1"/>
  <c r="C20" i="2" s="1"/>
  <c r="T10" i="5"/>
  <c r="L12" i="2" s="1"/>
  <c r="S12" i="5"/>
  <c r="T12" i="5" s="1"/>
  <c r="L14" i="2" s="1"/>
  <c r="W14" i="2" s="1"/>
  <c r="S11" i="5"/>
  <c r="T11" i="5" s="1"/>
  <c r="L13" i="2" s="1"/>
  <c r="W13" i="2" s="1"/>
  <c r="AB12" i="5"/>
  <c r="D13" i="5"/>
  <c r="R14" i="5"/>
  <c r="Z14" i="5" s="1"/>
  <c r="AA14" i="5" s="1"/>
  <c r="X13" i="2" l="1"/>
  <c r="K20" i="2"/>
  <c r="X20" i="2" s="1"/>
  <c r="F13" i="5"/>
  <c r="G13" i="5" s="1"/>
  <c r="E15" i="2" s="1"/>
  <c r="E13" i="5"/>
  <c r="D15" i="2" s="1"/>
  <c r="C15" i="2"/>
  <c r="W12" i="2"/>
  <c r="K14" i="2"/>
  <c r="N23" i="5"/>
  <c r="D19" i="2" s="1"/>
  <c r="K19" i="2" s="1"/>
  <c r="AB13" i="5"/>
  <c r="D14" i="5"/>
  <c r="R15" i="5"/>
  <c r="Z15" i="5" s="1"/>
  <c r="AA15" i="5" s="1"/>
  <c r="K15" i="2" l="1"/>
  <c r="X12" i="2"/>
  <c r="L19" i="2"/>
  <c r="F14" i="5"/>
  <c r="G14" i="5" s="1"/>
  <c r="E16" i="2" s="1"/>
  <c r="C16" i="2"/>
  <c r="E14" i="5"/>
  <c r="D16" i="2" s="1"/>
  <c r="X14" i="2"/>
  <c r="S13" i="5"/>
  <c r="AB14" i="5"/>
  <c r="AB15" i="5"/>
  <c r="D15" i="5"/>
  <c r="K16" i="2" l="1"/>
  <c r="F15" i="5"/>
  <c r="G15" i="5" s="1"/>
  <c r="E17" i="2" s="1"/>
  <c r="E15" i="5"/>
  <c r="D17" i="2" s="1"/>
  <c r="D25" i="2" s="1"/>
  <c r="C17" i="2"/>
  <c r="C25" i="2" s="1"/>
  <c r="W19" i="2"/>
  <c r="S14" i="5"/>
  <c r="T14" i="5" s="1"/>
  <c r="L16" i="2" s="1"/>
  <c r="W16" i="2" s="1"/>
  <c r="T13" i="5"/>
  <c r="L15" i="2" s="1"/>
  <c r="W15" i="2" s="1"/>
  <c r="X15" i="2" s="1"/>
  <c r="E38" i="3"/>
  <c r="X16" i="2" l="1"/>
  <c r="K17" i="2"/>
  <c r="K25" i="2" s="1"/>
  <c r="E4" i="3" s="1"/>
  <c r="X19" i="2"/>
  <c r="E25" i="2"/>
  <c r="S15" i="5"/>
  <c r="T15" i="5" s="1"/>
  <c r="L17" i="2" s="1"/>
  <c r="W17" i="2" s="1"/>
  <c r="W25" i="2" s="1"/>
  <c r="F120" i="6"/>
  <c r="H120" i="6" s="1"/>
  <c r="J121" i="6" s="1"/>
  <c r="X17" i="2" l="1"/>
  <c r="X25" i="2" s="1"/>
  <c r="L25" i="2"/>
  <c r="T16" i="5"/>
  <c r="S16" i="5"/>
  <c r="E16" i="3" l="1"/>
  <c r="D26" i="3" s="1"/>
  <c r="C16" i="3"/>
  <c r="F95" i="6" s="1"/>
  <c r="F109" i="6" l="1"/>
  <c r="H109" i="6" s="1"/>
  <c r="E25" i="3"/>
  <c r="E26" i="3" s="1"/>
  <c r="E39" i="3" s="1"/>
  <c r="E5" i="3" l="1"/>
  <c r="E6" i="3" s="1"/>
  <c r="E7" i="3" s="1"/>
  <c r="E10" i="3" s="1"/>
  <c r="E14" i="3" s="1"/>
  <c r="E40" i="3" s="1"/>
  <c r="F73" i="6"/>
  <c r="H76" i="6" s="1"/>
  <c r="H81" i="6" s="1"/>
  <c r="J86" i="6" s="1"/>
  <c r="J91" i="6" s="1"/>
  <c r="J109" i="6"/>
  <c r="J122" i="6" s="1"/>
  <c r="C41" i="3" l="1"/>
  <c r="C42" i="3" s="1"/>
  <c r="AI54" i="3"/>
  <c r="AE56" i="3"/>
  <c r="J123" i="6"/>
  <c r="J124" i="6" s="1"/>
  <c r="J125" i="6" s="1"/>
  <c r="L18" i="8"/>
  <c r="L22" i="11" s="1"/>
  <c r="L20" i="11" s="1"/>
  <c r="B1" i="12" s="1"/>
  <c r="D1" i="12" s="1"/>
  <c r="E41" i="3"/>
  <c r="E42" i="3" s="1"/>
  <c r="AK54" i="3" l="1"/>
  <c r="AL54" i="3"/>
  <c r="AL56" i="3" s="1"/>
  <c r="AJ54" i="3"/>
  <c r="D41" i="3"/>
  <c r="B2" i="12"/>
  <c r="D2" i="12" s="1"/>
  <c r="F2" i="12" s="1"/>
  <c r="E1" i="12"/>
  <c r="F1" i="12"/>
  <c r="E2" i="12" l="1"/>
  <c r="G2" i="12" s="1"/>
  <c r="H2" i="12" s="1"/>
  <c r="I2" i="12" s="1"/>
  <c r="L23" i="11" s="1"/>
  <c r="G1" i="12"/>
  <c r="H1" i="12" s="1"/>
  <c r="I1" i="12" s="1"/>
  <c r="L24" i="11" s="1"/>
  <c r="L25" i="11" l="1"/>
  <c r="L27" i="11" s="1"/>
  <c r="E46" i="3"/>
  <c r="E43" i="3" s="1"/>
  <c r="J126" i="6" l="1"/>
  <c r="AH56" i="3"/>
  <c r="AH59" i="3" l="1"/>
  <c r="AH60" i="3"/>
  <c r="AJ56" i="3" l="1"/>
  <c r="E44" i="3" s="1"/>
  <c r="E45" i="3" s="1"/>
  <c r="D42" i="3" s="1"/>
  <c r="E47" i="3" s="1"/>
  <c r="D48" i="3" s="1"/>
  <c r="E48" i="3" l="1"/>
  <c r="E49" i="3" s="1"/>
  <c r="E51" i="3" s="1"/>
  <c r="J127" i="6"/>
  <c r="J128" i="6" s="1"/>
  <c r="J130" i="6" s="1"/>
  <c r="E60" i="3" l="1"/>
  <c r="AE28" i="7"/>
  <c r="L28" i="7" s="1"/>
  <c r="E6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I16" authorId="0" shapeId="0" xr:uid="{FD9E7BB1-3A66-4348-A00B-4A416CD82332}">
      <text>
        <r>
          <rPr>
            <sz val="9"/>
            <color indexed="81"/>
            <rFont val="Tahoma"/>
            <family val="2"/>
          </rPr>
          <t xml:space="preserve">Kailash:
Maximum limit
If loan taken 01.4.99:-
For new construction or purchasing
home than Rs. 150000/
For mending or reconstruction then Rs. 30000/
From finacial year 201-15,Max Rs. 200000
</t>
        </r>
      </text>
    </comment>
    <comment ref="L17" authorId="0" shapeId="0" xr:uid="{7F97AF50-17B3-4670-9C22-E09B7356A1E0}">
      <text>
        <r>
          <rPr>
            <sz val="9"/>
            <color indexed="81"/>
            <rFont val="Tahoma"/>
            <family val="2"/>
          </rPr>
          <t>Kailash
Additional  Contribution towards NPS           Max  Rs.50000</t>
        </r>
      </text>
    </comment>
    <comment ref="C18" authorId="0" shapeId="0" xr:uid="{373EA839-74F9-4E85-BF33-37DA16F110B8}">
      <text>
        <r>
          <rPr>
            <sz val="9"/>
            <color indexed="81"/>
            <rFont val="Tahoma"/>
            <family val="2"/>
          </rPr>
          <t xml:space="preserve">Kailash:
For dependant
handicapped
Max. 75000/ for General
disability
Max.125000/for 80% or
more disability
</t>
        </r>
      </text>
    </comment>
    <comment ref="L19" authorId="0" shapeId="0" xr:uid="{72D16426-B64E-428A-93E1-2030182A59FC}">
      <text>
        <r>
          <rPr>
            <sz val="9"/>
            <color indexed="81"/>
            <rFont val="Tahoma"/>
            <family val="2"/>
          </rPr>
          <t xml:space="preserve">Kailash:
Deduction of Interest
on saving account
with bank or post
office.Max limit-
10000
</t>
        </r>
      </text>
    </comment>
  </commentList>
</comments>
</file>

<file path=xl/sharedStrings.xml><?xml version="1.0" encoding="utf-8"?>
<sst xmlns="http://schemas.openxmlformats.org/spreadsheetml/2006/main" count="596" uniqueCount="492">
  <si>
    <t>NAME</t>
  </si>
  <si>
    <t>INFORMATION ABOUT SALARY AND ALLOWANCE</t>
  </si>
  <si>
    <t>fdrus ekg ds fy, cksul feyk</t>
  </si>
  <si>
    <t>OTHER INCOME</t>
  </si>
  <si>
    <t>HOME LOAN CAPITAL</t>
  </si>
  <si>
    <t>PLI</t>
  </si>
  <si>
    <t>NOTIFIED BOND OF NABARD</t>
  </si>
  <si>
    <t>PPF</t>
  </si>
  <si>
    <t>ULIP</t>
  </si>
  <si>
    <t>US 80 TTA</t>
  </si>
  <si>
    <t>US 80 D</t>
  </si>
  <si>
    <t>US 80 E</t>
  </si>
  <si>
    <t>US 80 G</t>
  </si>
  <si>
    <t>TAX DEDUCTED AT SOURCE</t>
  </si>
  <si>
    <t>MARCH</t>
  </si>
  <si>
    <t>APRIL</t>
  </si>
  <si>
    <t>MAY</t>
  </si>
  <si>
    <t>JUNE</t>
  </si>
  <si>
    <t>JULY</t>
  </si>
  <si>
    <t>AUG</t>
  </si>
  <si>
    <t>OCT</t>
  </si>
  <si>
    <t>NOV</t>
  </si>
  <si>
    <t>DEC</t>
  </si>
  <si>
    <t>JAN</t>
  </si>
  <si>
    <t>FEB</t>
  </si>
  <si>
    <t>dz- la-</t>
  </si>
  <si>
    <t>ekg</t>
  </si>
  <si>
    <t>osru tks fn;k x;k</t>
  </si>
  <si>
    <t>dVkSfr;ka tks dh x;h</t>
  </si>
  <si>
    <t xml:space="preserve"> 'kq} Hkqxrku dh x;h jkf'k</t>
  </si>
  <si>
    <t>Vªstjh ckmpj ua-</t>
  </si>
  <si>
    <t>Hkqxrku fn-</t>
  </si>
  <si>
    <t>jfuax is cS.M o xzsM is</t>
  </si>
  <si>
    <t xml:space="preserve"> Mh ,</t>
  </si>
  <si>
    <t>HRA</t>
  </si>
  <si>
    <t xml:space="preserve"> 'kgjh {friwfrZ HkÙkk</t>
  </si>
  <si>
    <t>cksul</t>
  </si>
  <si>
    <t>vU;</t>
  </si>
  <si>
    <t>;ksx</t>
  </si>
  <si>
    <t>th ih ,Q _.k</t>
  </si>
  <si>
    <t>jkT; chek</t>
  </si>
  <si>
    <t>jkT; chek _.k</t>
  </si>
  <si>
    <t>RPMF</t>
  </si>
  <si>
    <t>L I C</t>
  </si>
  <si>
    <t>GPF 2004</t>
  </si>
  <si>
    <t>vk; dj</t>
  </si>
  <si>
    <t>lk nq ch</t>
  </si>
  <si>
    <t>ekpZ&amp;20</t>
  </si>
  <si>
    <t>vizsy&amp;20</t>
  </si>
  <si>
    <t>ebZ&amp;20</t>
  </si>
  <si>
    <t>twu&amp;20</t>
  </si>
  <si>
    <t>tqyk-&amp;20</t>
  </si>
  <si>
    <t>vx-&amp;20</t>
  </si>
  <si>
    <t>flr-&amp;20</t>
  </si>
  <si>
    <t>vDVw-&amp;20</t>
  </si>
  <si>
    <t>uc-&amp;20</t>
  </si>
  <si>
    <t>fnl-&amp;20</t>
  </si>
  <si>
    <t>tu-&amp;21</t>
  </si>
  <si>
    <t>Qj-&amp;21</t>
  </si>
  <si>
    <t>Mh , ,fj</t>
  </si>
  <si>
    <t>le- vo-</t>
  </si>
  <si>
    <t>fQDls ,fj</t>
  </si>
  <si>
    <t xml:space="preserve">gLrk{kj deZpkjh </t>
  </si>
  <si>
    <t>gLrk{kj vkgj.k o forj.k vf/kdkjh</t>
  </si>
  <si>
    <t>GPF</t>
  </si>
  <si>
    <t>SI</t>
  </si>
  <si>
    <t>IT</t>
  </si>
  <si>
    <t>1- osru en esa vk; ¼HkÙkksa lfgr½</t>
  </si>
  <si>
    <t>;fn osru 150000 ls vf/kd gS rks /kkjk 17¼2½ ds varxZr izkIr lqfo/kk,a</t>
  </si>
  <si>
    <t xml:space="preserve">LVs.MMZ fMMD'ku </t>
  </si>
  <si>
    <t xml:space="preserve">US10 </t>
  </si>
  <si>
    <t>¼2½ izkIr fdjk;k</t>
  </si>
  <si>
    <t>¼1½ x`gdj</t>
  </si>
  <si>
    <t>(2) Standard Deduction</t>
  </si>
  <si>
    <t>¼3½ _.k ij C;kt</t>
  </si>
  <si>
    <t>¼4½ izkIr fdjk;k&amp;¼;ksx 1 ls 3½</t>
  </si>
  <si>
    <t>3- vU; óksrksa ls vk;%</t>
  </si>
  <si>
    <t>cpr [kkrs ij C;kt</t>
  </si>
  <si>
    <t>vU; vk;</t>
  </si>
  <si>
    <t xml:space="preserve">ldy dqy vk; </t>
  </si>
  <si>
    <t>US 80CCD(1)</t>
  </si>
  <si>
    <t>S I</t>
  </si>
  <si>
    <t>Tuition fee: 2 children</t>
  </si>
  <si>
    <t>LIC</t>
  </si>
  <si>
    <t xml:space="preserve">jk"Vªh; cpr i= </t>
  </si>
  <si>
    <t>Gr. Acc. Ins.</t>
  </si>
  <si>
    <t>jk"Vªh; cpr i= ij vnÙk C;kt</t>
  </si>
  <si>
    <t>bfDoVh fyad lsfoax Ldhe</t>
  </si>
  <si>
    <t xml:space="preserve">Hkou _.k iquHkqZxrku </t>
  </si>
  <si>
    <t>LFkfxr okf"kZdh</t>
  </si>
  <si>
    <t>LFkkbZ tek 5 o"kZ</t>
  </si>
  <si>
    <t>lqdU;k le`f) ;kstuk</t>
  </si>
  <si>
    <t>US 80CCC</t>
  </si>
  <si>
    <t>Qualifying Amount US80CCE (Max Rs 150000/)</t>
  </si>
  <si>
    <t xml:space="preserve">vU; dVkSfr;ka </t>
  </si>
  <si>
    <t>US 80 EEA Max Rs 150000/</t>
  </si>
  <si>
    <t>US 80D</t>
  </si>
  <si>
    <t>US 80DD</t>
  </si>
  <si>
    <t>US 80DDB  (Patient suffering from Cancer, AIDS, Chronical renal failure, Thalassaemia etc.)</t>
  </si>
  <si>
    <t>US 80G</t>
  </si>
  <si>
    <t>US 80U</t>
  </si>
  <si>
    <t>US 80 CCD (1B)</t>
  </si>
  <si>
    <t>'kq) dj ;ksX; vk; ¼iw.kkZad esa½</t>
  </si>
  <si>
    <t>TAX FOR MEN</t>
  </si>
  <si>
    <t>Tax Credit, Max Rs 12500/</t>
  </si>
  <si>
    <t>dqy vk;dj</t>
  </si>
  <si>
    <t>REBATE US 89 (1)</t>
  </si>
  <si>
    <t>dqy dj ns;rk</t>
  </si>
  <si>
    <t>óksr ij gqbZ dVkSrh</t>
  </si>
  <si>
    <t>fQDls'ku ,fj;j ls VhMh,l</t>
  </si>
  <si>
    <t>óksr ij gqbZ dqy dVkSrh</t>
  </si>
  <si>
    <t xml:space="preserve">'ks"k dj ns;rk </t>
  </si>
  <si>
    <t>dj fjQ.M</t>
  </si>
  <si>
    <t>gLrk{kj deZpkjh</t>
  </si>
  <si>
    <t>0</t>
  </si>
  <si>
    <t xml:space="preserve">2- ¼1½ v/;k; IV C ds varxr vk;% ¼1½ Lo;a ds mi;ksx esa 'kwU; </t>
  </si>
  <si>
    <t>dqy vk;dj ns;rk</t>
  </si>
  <si>
    <t>Prog. Dev. By:-Kailash chandra sharma, Contact:-klsharma1971@gmail.com</t>
  </si>
  <si>
    <t>Developed by kailash chandra sharma,Teacher L-1,GSSS-JEEWANA,Block-masuda                                                                                                       Dist.AJMER(Rajsthan)</t>
  </si>
  <si>
    <t>lkekU; tkudkjh</t>
  </si>
  <si>
    <t>DESGNATION</t>
  </si>
  <si>
    <t>OFFICE NAME</t>
  </si>
  <si>
    <t>PAN NUMBER</t>
  </si>
  <si>
    <t>BANK NAME</t>
  </si>
  <si>
    <t>Bank Ac.No.</t>
  </si>
  <si>
    <t>ewy osru es dksbZ ifjorZu&amp;ekg dk dzekad ns a¼tqykbZ dh osruo`f} ds vykok½</t>
  </si>
  <si>
    <t>fn;k x;k osru</t>
  </si>
  <si>
    <t>BONUS TAKEN          YES/NO</t>
  </si>
  <si>
    <t>INCOME OF HOUSE PROPERTY</t>
  </si>
  <si>
    <t>INTEREST OF FD</t>
  </si>
  <si>
    <t>OTHER</t>
  </si>
  <si>
    <t>LIC PREMIUM Direct</t>
  </si>
  <si>
    <t>LIC FROM Salary</t>
  </si>
  <si>
    <t>US 80 CCD</t>
  </si>
  <si>
    <t>TUITION FEE:               2 CHILDREN</t>
  </si>
  <si>
    <t>HOUSE LOAN INTEREST</t>
  </si>
  <si>
    <r>
      <t xml:space="preserve">INVESTMENTS VI A   </t>
    </r>
    <r>
      <rPr>
        <sz val="11"/>
        <color theme="1"/>
        <rFont val="DevLys 010"/>
      </rPr>
      <t>ds vUrxZr</t>
    </r>
  </si>
  <si>
    <t>US 80 CCD(1)B</t>
  </si>
  <si>
    <t>SEP</t>
  </si>
  <si>
    <t>AREAR 1 TDS</t>
  </si>
  <si>
    <t>AREAR  2 TDS</t>
  </si>
  <si>
    <t>AREAR 3 TDS</t>
  </si>
  <si>
    <t>Prog. Dev. By- KAILASH CHANDRA SHARMA, Contact:-klsharma1971@gmail.com</t>
  </si>
  <si>
    <r>
      <t>NSC</t>
    </r>
    <r>
      <rPr>
        <sz val="10"/>
        <color rgb="FF000000"/>
        <rFont val="DevLys 010"/>
      </rPr>
      <t xml:space="preserve"> ij C;kt</t>
    </r>
  </si>
  <si>
    <r>
      <t>FDR</t>
    </r>
    <r>
      <rPr>
        <sz val="10"/>
        <color rgb="FF000000"/>
        <rFont val="DevLys 010"/>
      </rPr>
      <t xml:space="preserve"> ls C;kt</t>
    </r>
  </si>
  <si>
    <r>
      <t xml:space="preserve">Bonds </t>
    </r>
    <r>
      <rPr>
        <sz val="10"/>
        <color rgb="FF000000"/>
        <rFont val="DevLys 010"/>
      </rPr>
      <t>ls C;kt</t>
    </r>
  </si>
  <si>
    <t>ACP</t>
  </si>
  <si>
    <t>BONUS</t>
  </si>
  <si>
    <t>YES</t>
  </si>
  <si>
    <t>NO</t>
  </si>
  <si>
    <t>lkeqfgd nq?kZVuk chek</t>
  </si>
  <si>
    <t xml:space="preserve">GPF </t>
  </si>
  <si>
    <t>GPS 2004</t>
  </si>
  <si>
    <r>
      <t xml:space="preserve">GPF 2004 </t>
    </r>
    <r>
      <rPr>
        <sz val="11"/>
        <color theme="1"/>
        <rFont val="DevLys 010"/>
      </rPr>
      <t>dh jkf'k Hkjsa</t>
    </r>
  </si>
  <si>
    <t>US 80 U</t>
  </si>
  <si>
    <t>US 80  TTA</t>
  </si>
  <si>
    <r>
      <t xml:space="preserve">v/;k; </t>
    </r>
    <r>
      <rPr>
        <b/>
        <sz val="10"/>
        <color rgb="FF000000"/>
        <rFont val="Calibri"/>
        <family val="2"/>
        <scheme val="minor"/>
      </rPr>
      <t>VI A</t>
    </r>
    <r>
      <rPr>
        <b/>
        <sz val="10"/>
        <color indexed="8"/>
        <rFont val="DevLys 010"/>
      </rPr>
      <t xml:space="preserve"> ds vUrxZr dqy dVkSfr;ka </t>
    </r>
  </si>
  <si>
    <r>
      <t xml:space="preserve">fpfdRlk ,oa f'k{kk midj  </t>
    </r>
    <r>
      <rPr>
        <sz val="10"/>
        <color rgb="FF000000"/>
        <rFont val="Calibri"/>
        <family val="2"/>
        <scheme val="minor"/>
      </rPr>
      <t>4%</t>
    </r>
  </si>
  <si>
    <t>AREAR TDS</t>
  </si>
  <si>
    <r>
      <rPr>
        <sz val="10"/>
        <color rgb="FF000000"/>
        <rFont val="Calibri"/>
        <family val="2"/>
        <scheme val="minor"/>
      </rPr>
      <t>US 80GG</t>
    </r>
    <r>
      <rPr>
        <sz val="10"/>
        <color indexed="8"/>
        <rFont val="DevLys 010"/>
      </rPr>
      <t xml:space="preserve"> ¼Hkqxrku fd, x, Hkou fdjk;s ds ckjs es dVkSrh] vf/kdre # 5000 rd½</t>
    </r>
  </si>
  <si>
    <r>
      <rPr>
        <sz val="10"/>
        <color rgb="FF000000"/>
        <rFont val="Calibri"/>
        <family val="2"/>
        <scheme val="minor"/>
      </rPr>
      <t xml:space="preserve">US 80EE  </t>
    </r>
    <r>
      <rPr>
        <sz val="10"/>
        <color indexed="8"/>
        <rFont val="DevLys 010"/>
      </rPr>
      <t>¼izFke vkoklh; ?kj gsrq fy, x, yksu ij C;kt dh vfrfjDr NwV] vf/kdre # 50000 rd½</t>
    </r>
  </si>
  <si>
    <r>
      <t xml:space="preserve">v/;k; </t>
    </r>
    <r>
      <rPr>
        <b/>
        <sz val="10"/>
        <color rgb="FF000000"/>
        <rFont val="Calibri"/>
        <family val="2"/>
        <scheme val="minor"/>
      </rPr>
      <t>VI A</t>
    </r>
    <r>
      <rPr>
        <b/>
        <sz val="10"/>
        <color indexed="8"/>
        <rFont val="DevLys 010"/>
      </rPr>
      <t xml:space="preserve"> ds vUrxZr dVkSfr;ka </t>
    </r>
  </si>
  <si>
    <r>
      <t>?kVkb;s&amp; dVkSfr;ka</t>
    </r>
    <r>
      <rPr>
        <sz val="10"/>
        <color rgb="FF000000"/>
        <rFont val="Calibri"/>
        <family val="2"/>
        <scheme val="minor"/>
      </rPr>
      <t xml:space="preserve"> US10 (13 A)</t>
    </r>
  </si>
  <si>
    <t>PL</t>
  </si>
  <si>
    <t>MONTH</t>
  </si>
  <si>
    <t>7</t>
  </si>
  <si>
    <t>BASIC</t>
  </si>
  <si>
    <t>DA</t>
  </si>
  <si>
    <t>TOTAL</t>
  </si>
  <si>
    <t>DOWNLOAD FROM MY WEB.http://ctorone.com</t>
  </si>
  <si>
    <t>US 80 DD</t>
  </si>
  <si>
    <t>Labels</t>
  </si>
  <si>
    <t>Old Slabes</t>
  </si>
  <si>
    <t>New Slabes</t>
  </si>
  <si>
    <t>Income</t>
  </si>
  <si>
    <t>Investments</t>
  </si>
  <si>
    <t>Taxable Income</t>
  </si>
  <si>
    <t>Slab 5%</t>
  </si>
  <si>
    <t>Slab 10%</t>
  </si>
  <si>
    <t>Slab 15%</t>
  </si>
  <si>
    <t>Slab 20%</t>
  </si>
  <si>
    <t>Slab 25%</t>
  </si>
  <si>
    <t>Slab 30%</t>
  </si>
  <si>
    <t>Tax Rebate</t>
  </si>
  <si>
    <t>Surcharge 10%</t>
  </si>
  <si>
    <t>Surcharge 15%</t>
  </si>
  <si>
    <t>Cess 4%</t>
  </si>
  <si>
    <t>Income Tax</t>
  </si>
  <si>
    <t>Tax Refund</t>
  </si>
  <si>
    <t>INCOME TAX CALCULATER 2021-22</t>
  </si>
  <si>
    <t>BASIC SALARY                         01-03-2021</t>
  </si>
  <si>
    <t>Standerd Ded.</t>
  </si>
  <si>
    <t>House Loan Interest</t>
  </si>
  <si>
    <t>TILL TDS BY Salary</t>
  </si>
  <si>
    <t>Investment</t>
  </si>
  <si>
    <t>u, vFkok iqjkus VSDl flLVe dk p;u djs</t>
  </si>
  <si>
    <t>xzhu dyj lsYl dks vko';drk gks rks esU;qvyh Hkj ys</t>
  </si>
  <si>
    <t>jk"V~h; cpr i=</t>
  </si>
  <si>
    <t>US 80 CCC</t>
  </si>
  <si>
    <t>REBATE US 89(1)</t>
  </si>
  <si>
    <t>HOW TO USE</t>
  </si>
  <si>
    <t>SURENDER</t>
  </si>
  <si>
    <r>
      <t xml:space="preserve">2. </t>
    </r>
    <r>
      <rPr>
        <b/>
        <sz val="14"/>
        <color rgb="FF0070C0"/>
        <rFont val="DevLys 010"/>
      </rPr>
      <t xml:space="preserve">LVS.MMZ lSysjh 'khV izkIr djus ds Ik'pkr vki viuh O;fDrxr vko';drkvksa ds vuqlkj bles </t>
    </r>
    <r>
      <rPr>
        <b/>
        <sz val="14"/>
        <color rgb="FFFF0000"/>
        <rFont val="Calibri"/>
        <family val="2"/>
        <scheme val="minor"/>
      </rPr>
      <t>Modifications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0070C0"/>
        <rFont val="DevLys 010"/>
      </rPr>
      <t xml:space="preserve">dj ldrs gSAtSls </t>
    </r>
    <r>
      <rPr>
        <b/>
        <sz val="14"/>
        <color rgb="FF0070C0"/>
        <rFont val="Calibri"/>
        <family val="2"/>
        <scheme val="minor"/>
      </rPr>
      <t xml:space="preserve">GPF </t>
    </r>
    <r>
      <rPr>
        <b/>
        <sz val="14"/>
        <color rgb="FF0070C0"/>
        <rFont val="DevLys 010"/>
      </rPr>
      <t xml:space="preserve">o </t>
    </r>
    <r>
      <rPr>
        <b/>
        <sz val="14"/>
        <color rgb="FF0070C0"/>
        <rFont val="Calibri"/>
        <family val="2"/>
        <scheme val="minor"/>
      </rPr>
      <t xml:space="preserve">SI </t>
    </r>
    <r>
      <rPr>
        <b/>
        <sz val="14"/>
        <color rgb="FF0070C0"/>
        <rFont val="DevLys 010"/>
      </rPr>
      <t xml:space="preserve">dh dVkSfr;ksa dk </t>
    </r>
    <r>
      <rPr>
        <b/>
        <sz val="14"/>
        <color rgb="FFFF0000"/>
        <rFont val="Calibri"/>
        <family val="2"/>
        <scheme val="minor"/>
      </rPr>
      <t>change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0070C0"/>
        <rFont val="DevLys 010"/>
      </rPr>
      <t xml:space="preserve">dj ldrs gSAfdUrq /;ku jgs vkids }kjk ;fn bl 'khV ij dksbZ Hkh iforZu fd;k gS rks vc iqu% 'khV ij ekStwn cVu </t>
    </r>
    <r>
      <rPr>
        <b/>
        <sz val="14"/>
        <color rgb="FFFF0000"/>
        <rFont val="Calibri"/>
        <family val="2"/>
        <scheme val="minor"/>
      </rPr>
      <t>'Generate Salary Sheet'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0070C0"/>
        <rFont val="DevLys 010"/>
      </rPr>
      <t xml:space="preserve">dks ugha nck,a vU;Fkk vki }kjk fd, x, </t>
    </r>
    <r>
      <rPr>
        <b/>
        <sz val="14"/>
        <color rgb="FF0070C0"/>
        <rFont val="Calibri"/>
        <family val="2"/>
        <scheme val="minor"/>
      </rPr>
      <t xml:space="preserve">'Modifications' </t>
    </r>
    <r>
      <rPr>
        <b/>
        <sz val="14"/>
        <color rgb="FF0070C0"/>
        <rFont val="DevLys 010"/>
      </rPr>
      <t xml:space="preserve">lekIr gks tk,axsAftu dkWye o jkW ds ysoy dk dyj xzhu gS vki muds ysoy vko';drk gksus ij </t>
    </r>
    <r>
      <rPr>
        <b/>
        <sz val="14"/>
        <color rgb="FFFF0000"/>
        <rFont val="Calibri"/>
        <family val="2"/>
        <scheme val="minor"/>
      </rPr>
      <t>change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0070C0"/>
        <rFont val="DevLys 010"/>
      </rPr>
      <t>dj ldrs gSA</t>
    </r>
  </si>
  <si>
    <r>
      <t xml:space="preserve">1- izksQkby 'khV ij okafNr fooj.k ;fn Hkj fy;k gS rks LVs.MMZ lSysjh 'khV tujsV djus ds fy, Åij fn;s x;s cVu </t>
    </r>
    <r>
      <rPr>
        <b/>
        <sz val="14"/>
        <color rgb="FFFF0000"/>
        <rFont val="Calibri"/>
        <family val="2"/>
        <scheme val="minor"/>
      </rPr>
      <t>'Generate Salary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 xml:space="preserve">Sheet' </t>
    </r>
    <r>
      <rPr>
        <b/>
        <sz val="14"/>
        <color rgb="FF0070C0"/>
        <rFont val="DevLys 010"/>
      </rPr>
      <t>dks nckb;sA</t>
    </r>
  </si>
  <si>
    <r>
      <t xml:space="preserve">3- iqu% u, O;fDr ds fy, LVS.MMZ lSysjh 'khV tujsV djus ds fy, izksQkby ij fooj.k Hkjsa ,oa 'khV ij ekStwn cVu </t>
    </r>
    <r>
      <rPr>
        <b/>
        <sz val="14"/>
        <color rgb="FFFF0000"/>
        <rFont val="Calibri"/>
        <family val="2"/>
        <scheme val="minor"/>
      </rPr>
      <t>Generate Salary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>Sheet '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rgb="FF0070C0"/>
        <rFont val="DevLys 010"/>
      </rPr>
      <t>dks nck,aA fizaV dek.M nsus ls igys fizaV O;w vo'; ns[ksa- ,oa mlh ist dks fizaV djsa ftldh vkidks vko'krk gSA</t>
    </r>
  </si>
  <si>
    <t>fgrdkjh fuf/k</t>
  </si>
  <si>
    <t>GAZETTED</t>
  </si>
  <si>
    <t>NON GAZETTED</t>
  </si>
  <si>
    <r>
      <t xml:space="preserve">PL </t>
    </r>
    <r>
      <rPr>
        <sz val="11"/>
        <color theme="1"/>
        <rFont val="DevLys 010"/>
      </rPr>
      <t>Hkqxrku ysus okys ekg dk dzekad pqusA ugh fy;k rks [kkyh NksMsaA</t>
    </r>
  </si>
  <si>
    <t>CATEGORY OF EMPLOYEE</t>
  </si>
  <si>
    <t>STATE SERVICE</t>
  </si>
  <si>
    <t>STATE SUBORDINATE(L10 AND ABOVE)</t>
  </si>
  <si>
    <t>MINISTRIAL SERVICE(L5 TO L9)</t>
  </si>
  <si>
    <t>IVTH CLASS(L1 TO L4)</t>
  </si>
  <si>
    <t>REGULAR</t>
  </si>
  <si>
    <t>RETIREMENT</t>
  </si>
  <si>
    <t>ewy osru</t>
  </si>
  <si>
    <t>BOND OF NABAED</t>
  </si>
  <si>
    <t>jk"V~h; cpr i= ij vnRr C;kt</t>
  </si>
  <si>
    <t>HRA AREAR</t>
  </si>
  <si>
    <t>RGHS</t>
  </si>
  <si>
    <t>FORM NO. 16</t>
  </si>
  <si>
    <t>[(See Rule 31(1)(a)]</t>
  </si>
  <si>
    <t>PART-A</t>
  </si>
  <si>
    <t>Certificate uner section 203 of the income-tax act, 1961 for tax deducted at source on Salary.</t>
  </si>
  <si>
    <t>Certificate No.</t>
  </si>
  <si>
    <t>Last Updated On</t>
  </si>
  <si>
    <t>Name and address of the employer</t>
  </si>
  <si>
    <t>Name and adress of the employee</t>
  </si>
  <si>
    <t>PAN of the Deductor</t>
  </si>
  <si>
    <t>TAN of Deductor</t>
  </si>
  <si>
    <t>PAN of the Employee</t>
  </si>
  <si>
    <t>Employee Ref No.</t>
  </si>
  <si>
    <t>CIT (TDS)</t>
  </si>
  <si>
    <t>Assess. Year</t>
  </si>
  <si>
    <t>Peroid with the Employer</t>
  </si>
  <si>
    <t>Adress</t>
  </si>
  <si>
    <t>CIT (TDS), New Central Revenue Building, Statue Circle</t>
  </si>
  <si>
    <t>From</t>
  </si>
  <si>
    <t>To</t>
  </si>
  <si>
    <t>City</t>
  </si>
  <si>
    <t>Jaipur</t>
  </si>
  <si>
    <t>PIN Code</t>
  </si>
  <si>
    <t>Summary of amount paid/credited and tax deducted at source thereon in respect of the employee</t>
  </si>
  <si>
    <t>Quarters</t>
  </si>
  <si>
    <t>Receipt Numbers of original quarterly statements of TDS under sub-secion (3) of section 200</t>
  </si>
  <si>
    <t>Amount paid/ credited</t>
  </si>
  <si>
    <t>Amount of tax deducted (Rs.)</t>
  </si>
  <si>
    <t>Amount of tax deposited/ remitted (Rs.)</t>
  </si>
  <si>
    <t>Ist</t>
  </si>
  <si>
    <t>IInd</t>
  </si>
  <si>
    <t>IIIrd</t>
  </si>
  <si>
    <t>IVth</t>
  </si>
  <si>
    <t>I. Details of tax deducted and deposited in the Central Government account through book adjustment</t>
  </si>
  <si>
    <t>(The Deductor to provide payment-wise details of tax deducted and deposited with respect to the deductee)</t>
  </si>
  <si>
    <t>S.N.</t>
  </si>
  <si>
    <r>
      <t xml:space="preserve">Tax Deposited in respect of the deductee </t>
    </r>
    <r>
      <rPr>
        <b/>
        <sz val="8"/>
        <color indexed="8"/>
        <rFont val="Rupee Foradian"/>
        <family val="2"/>
      </rPr>
      <t>(Rs)</t>
    </r>
  </si>
  <si>
    <t>Book identification number (BIN)</t>
  </si>
  <si>
    <t>Receipt numbers of form No. 24G</t>
  </si>
  <si>
    <t>DDO serial number in Form No. 24G</t>
  </si>
  <si>
    <t>Date of transfer voucher (dd/mm/yyyy)</t>
  </si>
  <si>
    <t>Status of matching with Form No. 24G</t>
  </si>
  <si>
    <t>Total</t>
  </si>
  <si>
    <t xml:space="preserve">II. Details of Tax deducted and deposited in Central Government Account through Challan. </t>
  </si>
  <si>
    <t>(The deducter to provide payment-wise details of tax deducted and deposited with respect to the deductee)</t>
  </si>
  <si>
    <r>
      <t xml:space="preserve">Tax Deposited in respect on of the deductee </t>
    </r>
    <r>
      <rPr>
        <b/>
        <sz val="9"/>
        <color indexed="8"/>
        <rFont val="Rupee Foradian"/>
        <family val="2"/>
      </rPr>
      <t>(Rs)</t>
    </r>
  </si>
  <si>
    <t>Challan identification number (CIN)</t>
  </si>
  <si>
    <t>BSR code of the Bank Branch</t>
  </si>
  <si>
    <t>Date on which tax deposited (dd/mm/yyyy)</t>
  </si>
  <si>
    <t>Challan Serial Number</t>
  </si>
  <si>
    <t>Status of matching with OLTAS</t>
  </si>
  <si>
    <t>Verification</t>
  </si>
  <si>
    <t>I</t>
  </si>
  <si>
    <t xml:space="preserve">son/daughter of </t>
  </si>
  <si>
    <t xml:space="preserve">working in the </t>
  </si>
  <si>
    <t xml:space="preserve">capacity of </t>
  </si>
  <si>
    <t xml:space="preserve">(designation) do hereby certify that a sum of </t>
  </si>
  <si>
    <t>Rs</t>
  </si>
  <si>
    <t xml:space="preserve">(in words) has been deducted </t>
  </si>
  <si>
    <t xml:space="preserve">and deposited to the credit of the Central Govt.. I further certify that the information given above is true, complete and </t>
  </si>
  <si>
    <t>correct and is based on the books of account, documents,TDS statement, TDS deposited and other available records.</t>
  </si>
  <si>
    <t>Place</t>
  </si>
  <si>
    <t>Date</t>
  </si>
  <si>
    <t>Signature of person responsible for deduction of tax</t>
  </si>
  <si>
    <t>Designation</t>
  </si>
  <si>
    <t>Full name</t>
  </si>
  <si>
    <t>PART- B (Annexure)</t>
  </si>
  <si>
    <t>DETAILS OF SALARY PAID AND ANY OTHER INCOME AND TAX DEDUCTED</t>
  </si>
  <si>
    <t>1. Gross salary</t>
  </si>
  <si>
    <t>(a) Salary as per provisions contained in section 17(1)</t>
  </si>
  <si>
    <t>(b) Value of perquisites u/s 17(2) (as per Form No. 12BA, wherever applicable)</t>
  </si>
  <si>
    <t>(c) Profits in lieu of salary under section 17(3) (as per Form No. 12BA, wherever applicable)</t>
  </si>
  <si>
    <t>(d) Total</t>
  </si>
  <si>
    <t>2. Less: Allowance to the extent exempt u/s 10 House Rent Allowance</t>
  </si>
  <si>
    <t>Allowance</t>
  </si>
  <si>
    <t>House Rent Allow. US10 (13 A)</t>
  </si>
  <si>
    <t>3. Balance (1 - 2)</t>
  </si>
  <si>
    <t>4. Deductions:</t>
  </si>
  <si>
    <t>(a)</t>
  </si>
  <si>
    <t>Entertainment allowance</t>
  </si>
  <si>
    <t>(b)</t>
  </si>
  <si>
    <t>Tax on employment</t>
  </si>
  <si>
    <t>5. Aggregate of 4(a) and (b)</t>
  </si>
  <si>
    <t>6. Income chargeable under the head "salaries" (3-5)</t>
  </si>
  <si>
    <t xml:space="preserve">7. Add: Any other income reported by employee </t>
  </si>
  <si>
    <t>From House Property</t>
  </si>
  <si>
    <t>8. Gross total income (6+7)</t>
  </si>
  <si>
    <t>9. Deductions under Chapter VI A</t>
  </si>
  <si>
    <t>(A) Section 80C, 80CCC and 80CCD</t>
  </si>
  <si>
    <t>(a) Section 80C</t>
  </si>
  <si>
    <t>Gross Amount</t>
  </si>
  <si>
    <t>Deductible Amount</t>
  </si>
  <si>
    <t>G P F</t>
  </si>
  <si>
    <t>L I C + ULIP + PLI</t>
  </si>
  <si>
    <t>Gr. Acc. Insurance</t>
  </si>
  <si>
    <t>Home loan capital</t>
  </si>
  <si>
    <t>Notified Bond Of NABARD</t>
  </si>
  <si>
    <t>Tuition Fee</t>
  </si>
  <si>
    <t>NSC + Interest on NSC</t>
  </si>
  <si>
    <t>Equity linked savings</t>
  </si>
  <si>
    <t>Deferred Annuity</t>
  </si>
  <si>
    <t>Fixed Deposit</t>
  </si>
  <si>
    <t>Sukanya Samriddhi Yojana</t>
  </si>
  <si>
    <t>(b) Section 80CCC</t>
  </si>
  <si>
    <t>(c) Section 80CCD(1)</t>
  </si>
  <si>
    <t>(B) Other Sections under Chapter VIA</t>
  </si>
  <si>
    <t>Qualifying amount</t>
  </si>
  <si>
    <t>U/S 80CCG</t>
  </si>
  <si>
    <t>U/S 80D</t>
  </si>
  <si>
    <t>U/S 80DD</t>
  </si>
  <si>
    <t>U/S 80DDB</t>
  </si>
  <si>
    <t>U/S 80E</t>
  </si>
  <si>
    <t>U/S 80G</t>
  </si>
  <si>
    <t>U/S 80GG</t>
  </si>
  <si>
    <t>U/S 80EE</t>
  </si>
  <si>
    <t>U/S 80U</t>
  </si>
  <si>
    <t>US 80CCD (1B)</t>
  </si>
  <si>
    <t>US 80TTA</t>
  </si>
  <si>
    <t xml:space="preserve">10. Aggregate of deductible amount under chapter VIA </t>
  </si>
  <si>
    <t>11. Total income (8-10)</t>
  </si>
  <si>
    <t>Income tax for Men</t>
  </si>
  <si>
    <t>Tax Credit, Max Rs 5000/</t>
  </si>
  <si>
    <t>12. Tax on total income</t>
  </si>
  <si>
    <t>13. Education cess</t>
  </si>
  <si>
    <t>14. Tax payable (12+13)</t>
  </si>
  <si>
    <t>15. Relief under section 89 (Attach details)</t>
  </si>
  <si>
    <t>16. Tax payable (14-15)</t>
  </si>
  <si>
    <t xml:space="preserve">(designation) do hereby certify that the </t>
  </si>
  <si>
    <t>information given above is true, complete and correct and is based on the books of account, documents,TDS statement and other</t>
  </si>
  <si>
    <t>available records.</t>
  </si>
  <si>
    <t>Tax Deductor Name</t>
  </si>
  <si>
    <t>Father's Name</t>
  </si>
  <si>
    <t>PAN</t>
  </si>
  <si>
    <t>TAN</t>
  </si>
  <si>
    <r>
      <t xml:space="preserve">QUARTER </t>
    </r>
    <r>
      <rPr>
        <b/>
        <sz val="10"/>
        <color theme="1"/>
        <rFont val="Times New Roman"/>
        <family val="1"/>
      </rPr>
      <t>1st</t>
    </r>
  </si>
  <si>
    <t>QUARTER 2nd</t>
  </si>
  <si>
    <t>QUARTER 3rd</t>
  </si>
  <si>
    <t>QUARTER 4th</t>
  </si>
  <si>
    <t>DA AREAR</t>
  </si>
  <si>
    <t>Receipt Numbers of Original statements of TDS under sub-section (3) of section 200</t>
  </si>
  <si>
    <t>INCOME TAX BEFORE TDS</t>
  </si>
  <si>
    <t>INCOME TAX AFTER TDS</t>
  </si>
  <si>
    <t>TAX DEDUCTOR'S DESIGNATION</t>
  </si>
  <si>
    <t>CALCULATION OF RELIEF UNDER SECTION 89 (1)</t>
  </si>
  <si>
    <t>Male</t>
  </si>
  <si>
    <t>1- loZizFke vius ,fj;j dks xr foÙkh; o"kksZa ds vuqlkj foHkkftr djsaA</t>
  </si>
  <si>
    <t>Female</t>
  </si>
  <si>
    <t>ADDRESS</t>
  </si>
  <si>
    <t>CATEGORY</t>
  </si>
  <si>
    <r>
      <t xml:space="preserve">2- vc lEcfU/kr foÙkh; o"kksZa ds QkWeZ 16 vFkok </t>
    </r>
    <r>
      <rPr>
        <b/>
        <sz val="12"/>
        <color theme="9" tint="-0.249977111117893"/>
        <rFont val="Times New Roman"/>
        <family val="1"/>
      </rPr>
      <t>ITR</t>
    </r>
    <r>
      <rPr>
        <b/>
        <sz val="12"/>
        <color theme="9" tint="-0.249977111117893"/>
        <rFont val="DevLys 010"/>
      </rPr>
      <t xml:space="preserve"> ls dj ;ksX; vk; dks lEcfU/kr lsYl esa Hkjuk gSA</t>
    </r>
  </si>
  <si>
    <t>FINANCIAL YEAR- 2015-16</t>
  </si>
  <si>
    <r>
      <t xml:space="preserve">INCOME </t>
    </r>
    <r>
      <rPr>
        <b/>
        <sz val="10"/>
        <color rgb="FF00B050"/>
        <rFont val="Rupee Foradian"/>
        <family val="2"/>
      </rPr>
      <t>( Rs )</t>
    </r>
  </si>
  <si>
    <t>FINANCIAL YEAR- 2016-17</t>
  </si>
  <si>
    <t xml:space="preserve">3- dj ;ksX; vk; og vk; gS ftl ij ml foÙkh; o"kZ esa fu/kkZfjr vk;dj nj ls vk;dj dh x.kuk dh tkrh gSA </t>
  </si>
  <si>
    <t>FINANCIAL YEAR- 2017-18</t>
  </si>
  <si>
    <t xml:space="preserve">Enter net taxable income for 2017-18 (as per ITR/Form-16) </t>
  </si>
  <si>
    <t>Enter arrears relates to 2017-18</t>
  </si>
  <si>
    <t>FINANCIAL YEAR- 2018-19</t>
  </si>
  <si>
    <t xml:space="preserve">Enter net taxable income for 2018-19 (as per ITR/Form-16) </t>
  </si>
  <si>
    <t>Enter arrears relates to 2018-19</t>
  </si>
  <si>
    <t>FINANCIAL YEAR- 2019-20</t>
  </si>
  <si>
    <t>FORM NO. 10 E (See rule 21AA)</t>
  </si>
  <si>
    <t>Form for furnishing particulars of income undr scetion 192(2A) for year ending 31st March 2020 for claiming relief under section 89(1) by a Government servant or an employee in a company, co-operative society, local authority, university, institution, association or body.</t>
  </si>
  <si>
    <t>Name</t>
  </si>
  <si>
    <t>Address</t>
  </si>
  <si>
    <t>Status</t>
  </si>
  <si>
    <t xml:space="preserve">Indian Resident </t>
  </si>
  <si>
    <t>(b) Payment in the nature of gratuity in respect of past services, extending over a period of not less than 5 years in accordance with the provisions of sub-rule (3) of rule 21A</t>
  </si>
  <si>
    <t xml:space="preserve">Not applicable </t>
  </si>
  <si>
    <t>(c) Payment in the nature of compensation from the employer or former employer at or in connection with termination of employment after continuous service of not less than 3 years in accordance with the provisions of sub-rule (4) of rule 21A</t>
  </si>
  <si>
    <t>(d) Payment in commutation of pension in accordance with the provisions of sub-rule (5) of rule 21A</t>
  </si>
  <si>
    <t xml:space="preserve">2. Detailed particulars of payments referred to above may be given in Annexure I, II, IIA, III or IV as the case may be </t>
  </si>
  <si>
    <t>Annexure- I</t>
  </si>
  <si>
    <t xml:space="preserve">Verification </t>
  </si>
  <si>
    <t xml:space="preserve">I do hereby declare that what is stated above is true to the best of my knowledge and belief. Verified today </t>
  </si>
  <si>
    <t>Date:</t>
  </si>
  <si>
    <t>Signature of the employee</t>
  </si>
  <si>
    <t>ANNEXURE - I</t>
  </si>
  <si>
    <t xml:space="preserve">1. Total net taxable Income excluding Salary received in Arrears or advance </t>
  </si>
  <si>
    <t>2. salary received in arrears or advance</t>
  </si>
  <si>
    <t>3. Total Income (as increased by salary received in arrears or advance) (Add item 1 and item 2)</t>
  </si>
  <si>
    <t>4. Tax on total income (as per item 3)</t>
  </si>
  <si>
    <t>5. Tax on total income (as per item 1)</t>
  </si>
  <si>
    <t>6. Tax on salary received in arrears or advance (Difference of item 4 and item 5)</t>
  </si>
  <si>
    <t>7. Tax computed in accordance with Table "A" (Brought from column 7 of Table "A")</t>
  </si>
  <si>
    <t>8. Relief under section 89 (1) (Indicate the difference between the amounts mentioned against items 6 and 7)</t>
  </si>
  <si>
    <t>TABLE "A"  (See item 7 of Annexure I)</t>
  </si>
  <si>
    <t>Previous Year(s)</t>
  </si>
  <si>
    <t xml:space="preserve">Total Net Taxable income of the relevant previous year </t>
  </si>
  <si>
    <t>salary received in arrears or advance relating to the relevant previous year as mentioned in col. (1)</t>
  </si>
  <si>
    <t>Total income (as increased by salry received in arrears or advance) or the relevant previous year mentioned in col. (1) (Add col. 2 and 3)</t>
  </si>
  <si>
    <t>Tax on total income (as per col. 2)</t>
  </si>
  <si>
    <t>Tax on total income (as per col. 4)</t>
  </si>
  <si>
    <t>Difference in tax (Amount under col. 6 minus amount under col. 5)</t>
  </si>
  <si>
    <t>2017-18</t>
  </si>
  <si>
    <t>2018-19</t>
  </si>
  <si>
    <t>Prog. Dev. By- Kailash chandra sharma, Cont- Klsharma1971@gmail.com</t>
  </si>
  <si>
    <r>
      <t xml:space="preserve">4- vc bl QkWeZ esa lEcfU/kr foÙkh; o"kZ  dh dj ;ksX; vk; ,oa ml o"kZ ls lEcfU/kr ,fj;j dh jkf'k HkjsaA /;ku jgs foÙkh; o"kZ 2019&amp;20 ds fy, Hkjh x;h dj ;ksX; vk; esa lEiw.kZ ,fj;j dh jkf'k tqMh gksA  izkIr NwV dh jkf'k dks </t>
    </r>
    <r>
      <rPr>
        <b/>
        <sz val="12"/>
        <color theme="9" tint="-0.249977111117893"/>
        <rFont val="Times New Roman"/>
        <family val="1"/>
      </rPr>
      <t>'profile'</t>
    </r>
    <r>
      <rPr>
        <b/>
        <sz val="12"/>
        <color theme="9" tint="-0.249977111117893"/>
        <rFont val="DevLys 010"/>
      </rPr>
      <t xml:space="preserve"> 'khV ij lsy </t>
    </r>
    <r>
      <rPr>
        <b/>
        <sz val="12"/>
        <color theme="9" tint="-0.249977111117893"/>
        <rFont val="Calibri"/>
        <family val="2"/>
        <scheme val="minor"/>
      </rPr>
      <t xml:space="preserve">C15 </t>
    </r>
    <r>
      <rPr>
        <b/>
        <sz val="12"/>
        <color theme="9" tint="-0.249977111117893"/>
        <rFont val="DevLys 010"/>
      </rPr>
      <t xml:space="preserve">esa </t>
    </r>
    <r>
      <rPr>
        <b/>
        <sz val="12"/>
        <color theme="9" tint="-0.249977111117893"/>
        <rFont val="Times New Roman"/>
        <family val="1"/>
      </rPr>
      <t>Rebate US89(1)</t>
    </r>
    <r>
      <rPr>
        <b/>
        <sz val="12"/>
        <color theme="9" tint="-0.249977111117893"/>
        <rFont val="DevLys 010"/>
      </rPr>
      <t xml:space="preserve"> esa HkjsaA </t>
    </r>
  </si>
  <si>
    <t xml:space="preserve">Enter net taxable income for 2019-20 (as per ITR/Form-16) </t>
  </si>
  <si>
    <t>Enter arrears relates to 2019-20</t>
  </si>
  <si>
    <t xml:space="preserve">Enter net taxable income for 2020-21 (as per ITR/Form-16) </t>
  </si>
  <si>
    <t>Enter arrears relates to 2020-21</t>
  </si>
  <si>
    <t xml:space="preserve">Enter net taxable income for 2021-22 including entire arrears received (as per ITR/Form-16) </t>
  </si>
  <si>
    <t>2019-20</t>
  </si>
  <si>
    <t>2020-21</t>
  </si>
  <si>
    <t>1. (a) Salary received in arrears or in advance during 2021-22 in accordance with the provision of sub-rule (2) of rule 21A</t>
  </si>
  <si>
    <t>Particulars of Income referred to in rule 21A of the Income tax Rules, 1962, during the previous year relevant to assessment year 2022-23</t>
  </si>
  <si>
    <t>17-18(2)</t>
  </si>
  <si>
    <t>17-18(4)</t>
  </si>
  <si>
    <t>18-19</t>
  </si>
  <si>
    <t>19-20</t>
  </si>
  <si>
    <t>20-21</t>
  </si>
  <si>
    <t>colum -2</t>
  </si>
  <si>
    <t>colum-4</t>
  </si>
  <si>
    <t>item 3</t>
  </si>
  <si>
    <t>item 1</t>
  </si>
  <si>
    <r>
      <rPr>
        <sz val="14"/>
        <color theme="1"/>
        <rFont val="DevLys 010"/>
      </rPr>
      <t xml:space="preserve">;g jkf'k </t>
    </r>
    <r>
      <rPr>
        <sz val="14"/>
        <color theme="1"/>
        <rFont val="Calibri"/>
        <family val="2"/>
        <scheme val="minor"/>
      </rPr>
      <t xml:space="preserve">Profile </t>
    </r>
    <r>
      <rPr>
        <sz val="14"/>
        <color theme="1"/>
        <rFont val="DevLys 010"/>
      </rPr>
      <t xml:space="preserve">esa </t>
    </r>
    <r>
      <rPr>
        <sz val="11"/>
        <color theme="1"/>
        <rFont val="Calibri"/>
        <family val="2"/>
        <scheme val="minor"/>
      </rPr>
      <t xml:space="preserve">REBATE US 89(1) </t>
    </r>
    <r>
      <rPr>
        <sz val="14"/>
        <color theme="1"/>
        <rFont val="DevLys 010"/>
      </rPr>
      <t>esa HkjsaA</t>
    </r>
  </si>
  <si>
    <r>
      <t xml:space="preserve">D;k vkidks osru ihMh gsM ls feyrk gS </t>
    </r>
    <r>
      <rPr>
        <sz val="12"/>
        <color theme="1"/>
        <rFont val="Calibri"/>
        <family val="2"/>
        <scheme val="minor"/>
      </rPr>
      <t xml:space="preserve">? GPF </t>
    </r>
    <r>
      <rPr>
        <sz val="12"/>
        <color theme="1"/>
        <rFont val="DevLys 010"/>
      </rPr>
      <t xml:space="preserve">dkfeZd dks </t>
    </r>
    <r>
      <rPr>
        <sz val="12"/>
        <color theme="1"/>
        <rFont val="Calibri"/>
        <family val="2"/>
        <scheme val="minor"/>
      </rPr>
      <t xml:space="preserve">NO </t>
    </r>
    <r>
      <rPr>
        <sz val="12"/>
        <color theme="1"/>
        <rFont val="DevLys 010"/>
      </rPr>
      <t>j[kuk gSA</t>
    </r>
  </si>
  <si>
    <t>INCOME</t>
  </si>
  <si>
    <t>OLD SLABS</t>
  </si>
  <si>
    <t>NEW SLABS</t>
  </si>
  <si>
    <t>Rs. 0 to Rs. 2.5L</t>
  </si>
  <si>
    <t>Rs. 2.5L to Rs. 5L</t>
  </si>
  <si>
    <t>Rs. 5L to Rs. 7.5L</t>
  </si>
  <si>
    <t>Rs. 7.5L to Rs. 10L</t>
  </si>
  <si>
    <t>Rs. 10 to Rs.12.5L</t>
  </si>
  <si>
    <t>Rs. 12.5 to Rs. 15L</t>
  </si>
  <si>
    <t>&gt;Rs. 15L</t>
  </si>
  <si>
    <t>GPF-2004</t>
  </si>
  <si>
    <t>GPF/GPF 2004</t>
  </si>
  <si>
    <t>vU; ,fj</t>
  </si>
  <si>
    <t>KAILASH CHANDRA SHARMA</t>
  </si>
  <si>
    <t>GPF DIPOSIT</t>
  </si>
  <si>
    <t>PRINCIPAL</t>
  </si>
  <si>
    <t>DOWNLOAD FROM MY WEB.https://rajsevak.com</t>
  </si>
  <si>
    <t>Visit https://rajsevak.com for Income Tax calculation program.</t>
  </si>
  <si>
    <t>ekpZ&amp;24</t>
  </si>
  <si>
    <t>vizsy&amp;24</t>
  </si>
  <si>
    <t>ebZ&amp;24</t>
  </si>
  <si>
    <t>twu&amp;24</t>
  </si>
  <si>
    <t>tqyk-&amp;24</t>
  </si>
  <si>
    <t>vx-&amp;24</t>
  </si>
  <si>
    <t>flr-&amp;24</t>
  </si>
  <si>
    <t>vDVw-&amp;24</t>
  </si>
  <si>
    <t>uc-&amp;24</t>
  </si>
  <si>
    <t>fnl-&amp;24</t>
  </si>
  <si>
    <t>tu-&amp;25</t>
  </si>
  <si>
    <t>Qj-&amp;25</t>
  </si>
  <si>
    <t>osru o dVkSfr;ksa dk fooj.k 2024 &amp; 2025</t>
  </si>
  <si>
    <t>vk;dj x.kuk izi= ys[kk o"kZ 2024&amp;25 dj fu/kkZj.k o"kZ 2025&amp;26</t>
  </si>
  <si>
    <t>SALARY IN MARCH 2024</t>
  </si>
  <si>
    <t>vk;dj x.kuk i= ys[kk o"kZ 2024&amp;2025 dj fu/kkZj.k o"kZ 2025&amp;2026</t>
  </si>
  <si>
    <t>ekpZ 2024</t>
  </si>
  <si>
    <t>vizsy 2024</t>
  </si>
  <si>
    <t>ebZ 2024</t>
  </si>
  <si>
    <t>twu 2024</t>
  </si>
  <si>
    <t>tqykbZ 2024</t>
  </si>
  <si>
    <t>vxLr 2024</t>
  </si>
  <si>
    <t>flrEcj 2024</t>
  </si>
  <si>
    <t>vDVwcj 2024</t>
  </si>
  <si>
    <t>uoEcj 2024</t>
  </si>
  <si>
    <t>fnlEcj 2024</t>
  </si>
  <si>
    <t>tuojh 2025</t>
  </si>
  <si>
    <t>Qjojh 2025</t>
  </si>
  <si>
    <t>JAN TO FEB</t>
  </si>
  <si>
    <t>2025-26</t>
  </si>
  <si>
    <t>01-4-2024</t>
  </si>
  <si>
    <t>31-03-2025</t>
  </si>
  <si>
    <t>JULY TO OCT</t>
  </si>
  <si>
    <t>(2) छूट धारा 87 (A) (नई स्लैब में 7 लाख की कर योग्य आय पर 25000/- तक राहत)</t>
  </si>
  <si>
    <t>(3) छूट धारा 115 BAC  (Marginal Relief) (नई स्लैब में कर योग्य आय कर से न्यून होने की स्थिति में)</t>
  </si>
  <si>
    <r>
      <rPr>
        <b/>
        <sz val="10"/>
        <rFont val="Cambria"/>
        <family val="1"/>
      </rPr>
      <t xml:space="preserve">(2)  छूट धारा 87 (A) (नई स्लैब में 7 लाख की कर योग्य आय पर 25000/- तक राहत) 
     </t>
    </r>
    <r>
      <rPr>
        <b/>
        <sz val="9"/>
        <rFont val="Cambria"/>
        <family val="1"/>
      </rPr>
      <t xml:space="preserve">   Or 115 BAC  (Marginal Relief) (नई स्लैब में कर योग्य आय कर से न्यून होने की स्थिति में)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</si>
</sst>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1">
    <font>
      <sz val="11"/>
      <color theme="1"/>
      <name val="Calibri"/>
      <family val="2"/>
      <scheme val="minor"/>
    </font>
    <font>
      <sz val="11"/>
      <color theme="1"/>
      <name val="DevLys 010"/>
    </font>
    <font>
      <b/>
      <sz val="11"/>
      <color theme="1"/>
      <name val="DevLys 010"/>
    </font>
    <font>
      <b/>
      <sz val="7"/>
      <color indexed="8"/>
      <name val="Times New Roman"/>
      <family val="1"/>
    </font>
    <font>
      <b/>
      <sz val="14"/>
      <color indexed="8"/>
      <name val="DevLys 010"/>
    </font>
    <font>
      <b/>
      <sz val="10"/>
      <color indexed="8"/>
      <name val="Times New Roman"/>
      <family val="1"/>
    </font>
    <font>
      <b/>
      <sz val="10"/>
      <color indexed="8"/>
      <name val="DevLys 010"/>
    </font>
    <font>
      <b/>
      <sz val="12"/>
      <color indexed="8"/>
      <name val="DevLys 010"/>
    </font>
    <font>
      <b/>
      <sz val="9"/>
      <color indexed="8"/>
      <name val="DevLys 010"/>
    </font>
    <font>
      <b/>
      <sz val="8"/>
      <color indexed="8"/>
      <name val="DevLys 010"/>
    </font>
    <font>
      <sz val="10"/>
      <color indexed="8"/>
      <name val="DevLys 010"/>
    </font>
    <font>
      <sz val="9"/>
      <color indexed="8"/>
      <name val="DevLys 010"/>
    </font>
    <font>
      <sz val="9"/>
      <color indexed="8"/>
      <name val="Times New Roman"/>
      <family val="1"/>
    </font>
    <font>
      <sz val="8"/>
      <color indexed="8"/>
      <name val="Times New Roman"/>
      <family val="1"/>
    </font>
    <font>
      <sz val="7"/>
      <color indexed="8"/>
      <name val="Times New Roman"/>
      <family val="1"/>
    </font>
    <font>
      <sz val="12"/>
      <color indexed="8"/>
      <name val="DevLys 010"/>
    </font>
    <font>
      <b/>
      <i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DevLys 010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theme="1"/>
      <name val="DevLys 010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DevLys 010"/>
    </font>
    <font>
      <b/>
      <sz val="14"/>
      <color theme="1"/>
      <name val="Calibri"/>
      <family val="2"/>
      <scheme val="minor"/>
    </font>
    <font>
      <b/>
      <sz val="14"/>
      <color theme="1"/>
      <name val="DevLys 010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DevLys 010"/>
      <family val="2"/>
    </font>
    <font>
      <b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DevLys 010"/>
    </font>
    <font>
      <sz val="2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10"/>
      <color indexed="8"/>
      <name val="Calibri"/>
      <family val="2"/>
      <scheme val="minor"/>
    </font>
    <font>
      <sz val="14"/>
      <color theme="3" tint="-0.249977111117893"/>
      <name val="DevLys 010"/>
    </font>
    <font>
      <sz val="8"/>
      <color rgb="FF000000"/>
      <name val="Segoe UI"/>
      <family val="2"/>
    </font>
    <font>
      <b/>
      <sz val="14"/>
      <name val="Calibri"/>
      <family val="2"/>
      <scheme val="minor"/>
    </font>
    <font>
      <b/>
      <sz val="14"/>
      <color rgb="FF0070C0"/>
      <name val="DevLys 010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70C0"/>
      <name val="DevLys 010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8"/>
      <color indexed="8"/>
      <name val="Calibri"/>
      <family val="2"/>
      <scheme val="minor"/>
    </font>
    <font>
      <b/>
      <sz val="12"/>
      <color theme="1"/>
      <name val="DevLys 010"/>
    </font>
    <font>
      <b/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6"/>
      <color indexed="10"/>
      <name val="Times New Roman"/>
      <family val="1"/>
    </font>
    <font>
      <b/>
      <sz val="8"/>
      <color indexed="8"/>
      <name val="Times New Roman"/>
      <family val="1"/>
    </font>
    <font>
      <b/>
      <sz val="16"/>
      <color theme="9" tint="-0.249977111117893"/>
      <name val="DevLys 010"/>
    </font>
    <font>
      <b/>
      <sz val="11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indexed="8"/>
      <name val="Times New Roman"/>
      <family val="1"/>
    </font>
    <font>
      <b/>
      <sz val="8"/>
      <color indexed="8"/>
      <name val="Rupee Foradian"/>
      <family val="2"/>
    </font>
    <font>
      <b/>
      <sz val="9"/>
      <color indexed="8"/>
      <name val="Rupee Foradian"/>
      <family val="2"/>
    </font>
    <font>
      <sz val="8"/>
      <color theme="1"/>
      <name val="Calibri"/>
      <family val="2"/>
      <scheme val="minor"/>
    </font>
    <font>
      <sz val="9"/>
      <color indexed="8"/>
      <name val="Rupee Foradian"/>
      <family val="2"/>
    </font>
    <font>
      <b/>
      <sz val="7"/>
      <color theme="1"/>
      <name val="Times New Roman"/>
      <family val="1"/>
    </font>
    <font>
      <b/>
      <sz val="12"/>
      <color rgb="FF7030A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16"/>
      <color theme="9" tint="-0.499984740745262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2"/>
      <color theme="9" tint="-0.249977111117893"/>
      <name val="DevLys 010"/>
    </font>
    <font>
      <b/>
      <sz val="11"/>
      <color rgb="FF7030A0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Times New Roman"/>
      <family val="1"/>
    </font>
    <font>
      <b/>
      <sz val="12"/>
      <color theme="9" tint="-0.249977111117893"/>
      <name val="Times New Roman"/>
      <family val="1"/>
    </font>
    <font>
      <b/>
      <sz val="11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Rupee Foradian"/>
      <family val="2"/>
    </font>
    <font>
      <b/>
      <sz val="14"/>
      <color theme="1"/>
      <name val="Times New Roman"/>
      <family val="1"/>
    </font>
    <font>
      <b/>
      <sz val="14"/>
      <color theme="9" tint="-0.249977111117893"/>
      <name val="DevLys 010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9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2"/>
      <color theme="1"/>
      <name val="DevLys 010"/>
    </font>
    <font>
      <b/>
      <sz val="18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0"/>
      <name val="Cambria"/>
      <family val="1"/>
    </font>
    <font>
      <sz val="11"/>
      <name val="Calibri"/>
      <family val="2"/>
    </font>
    <font>
      <b/>
      <sz val="9"/>
      <name val="Cambria"/>
      <family val="1"/>
    </font>
  </fonts>
  <fills count="3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7030A0"/>
      </left>
      <right/>
      <top style="medium">
        <color rgb="FF7030A0"/>
      </top>
      <bottom style="thin">
        <color theme="9" tint="-0.249977111117893"/>
      </bottom>
      <diagonal/>
    </border>
    <border>
      <left/>
      <right/>
      <top style="medium">
        <color rgb="FF7030A0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medium">
        <color rgb="FF7030A0"/>
      </top>
      <bottom style="thin">
        <color theme="9" tint="-0.249977111117893"/>
      </bottom>
      <diagonal/>
    </border>
    <border>
      <left/>
      <right/>
      <top style="medium">
        <color rgb="FF7030A0"/>
      </top>
      <bottom/>
      <diagonal/>
    </border>
    <border>
      <left style="medium">
        <color theme="9" tint="-0.249977111117893"/>
      </left>
      <right/>
      <top/>
      <bottom/>
      <diagonal/>
    </border>
    <border>
      <left/>
      <right/>
      <top style="medium">
        <color theme="9" tint="-0.249977111117893"/>
      </top>
      <bottom/>
      <diagonal/>
    </border>
    <border>
      <left style="medium">
        <color rgb="FF7030A0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rgb="FF7030A0"/>
      </left>
      <right/>
      <top style="thin">
        <color theme="9" tint="-0.249977111117893"/>
      </top>
      <bottom style="thin">
        <color theme="6" tint="-0.249977111117893"/>
      </bottom>
      <diagonal/>
    </border>
    <border>
      <left/>
      <right/>
      <top style="thin">
        <color theme="9" tint="-0.249977111117893"/>
      </top>
      <bottom style="thin">
        <color theme="6" tint="-0.249977111117893"/>
      </bottom>
      <diagonal/>
    </border>
    <border>
      <left/>
      <right style="thin">
        <color theme="6" tint="-0.249977111117893"/>
      </right>
      <top style="thin">
        <color theme="9" tint="-0.249977111117893"/>
      </top>
      <bottom style="thin">
        <color theme="6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6" tint="-0.249977111117893"/>
      </bottom>
      <diagonal/>
    </border>
    <border>
      <left style="medium">
        <color rgb="FF7030A0"/>
      </left>
      <right/>
      <top/>
      <bottom/>
      <diagonal/>
    </border>
    <border>
      <left/>
      <right style="thin">
        <color theme="6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/>
      <top/>
      <bottom style="medium">
        <color rgb="FF7030A0"/>
      </bottom>
      <diagonal/>
    </border>
    <border>
      <left style="thin">
        <color theme="6" tint="-0.249977111117893"/>
      </left>
      <right/>
      <top style="thin">
        <color theme="9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theme="9" tint="-0.249977111117893"/>
      </bottom>
      <diagonal/>
    </border>
    <border>
      <left/>
      <right/>
      <top style="thin">
        <color theme="6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6" tint="-0.249977111117893"/>
      </top>
      <bottom style="thin">
        <color theme="9" tint="-0.249977111117893"/>
      </bottom>
      <diagonal/>
    </border>
    <border>
      <left style="medium">
        <color rgb="FF7030A0"/>
      </left>
      <right/>
      <top style="thin">
        <color theme="6" tint="-0.249977111117893"/>
      </top>
      <bottom style="thin">
        <color theme="9" tint="-0.249977111117893"/>
      </bottom>
      <diagonal/>
    </border>
    <border>
      <left/>
      <right style="thin">
        <color theme="6" tint="-0.249977111117893"/>
      </right>
      <top style="thin">
        <color theme="6" tint="-0.249977111117893"/>
      </top>
      <bottom style="thin">
        <color theme="9" tint="-0.249977111117893"/>
      </bottom>
      <diagonal/>
    </border>
    <border>
      <left style="thin">
        <color theme="6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rgb="FF7030A0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6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rgb="FF7030A0"/>
      </left>
      <right/>
      <top style="medium">
        <color theme="9" tint="-0.249977111117893"/>
      </top>
      <bottom/>
      <diagonal/>
    </border>
  </borders>
  <cellStyleXfs count="3">
    <xf numFmtId="0" fontId="0" fillId="0" borderId="0"/>
    <xf numFmtId="0" fontId="57" fillId="20" borderId="0" applyNumberFormat="0" applyBorder="0" applyAlignment="0" applyProtection="0"/>
    <xf numFmtId="0" fontId="93" fillId="0" borderId="0" applyNumberFormat="0" applyFill="0" applyBorder="0" applyAlignment="0" applyProtection="0"/>
  </cellStyleXfs>
  <cellXfs count="818">
    <xf numFmtId="0" fontId="0" fillId="0" borderId="0" xfId="0"/>
    <xf numFmtId="0" fontId="12" fillId="0" borderId="1" xfId="0" applyFont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26" fillId="11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31" fillId="11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Protection="1"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Alignment="1" applyProtection="1">
      <alignment vertical="center"/>
      <protection hidden="1"/>
    </xf>
    <xf numFmtId="0" fontId="10" fillId="0" borderId="16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1" fontId="19" fillId="0" borderId="11" xfId="0" applyNumberFormat="1" applyFont="1" applyBorder="1" applyAlignment="1" applyProtection="1">
      <alignment vertical="center"/>
      <protection hidden="1"/>
    </xf>
    <xf numFmtId="0" fontId="19" fillId="0" borderId="11" xfId="0" applyFont="1" applyBorder="1" applyAlignment="1" applyProtection="1">
      <alignment vertical="center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1" xfId="0" applyFont="1" applyBorder="1" applyAlignment="1" applyProtection="1">
      <alignment horizontal="right" vertical="center"/>
      <protection hidden="1"/>
    </xf>
    <xf numFmtId="0" fontId="10" fillId="0" borderId="1" xfId="0" applyFont="1" applyBorder="1" applyAlignment="1" applyProtection="1">
      <alignment vertical="center"/>
      <protection hidden="1"/>
    </xf>
    <xf numFmtId="0" fontId="10" fillId="0" borderId="10" xfId="0" applyFont="1" applyBorder="1" applyAlignment="1" applyProtection="1">
      <alignment horizontal="left" vertical="center"/>
      <protection hidden="1"/>
    </xf>
    <xf numFmtId="0" fontId="17" fillId="0" borderId="1" xfId="0" applyFont="1" applyBorder="1" applyAlignment="1" applyProtection="1">
      <alignment horizontal="left" vertical="center"/>
      <protection hidden="1"/>
    </xf>
    <xf numFmtId="0" fontId="10" fillId="0" borderId="1" xfId="0" applyFont="1" applyBorder="1" applyAlignment="1" applyProtection="1">
      <alignment horizontal="left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17" fillId="0" borderId="10" xfId="0" applyFont="1" applyBorder="1" applyAlignment="1" applyProtection="1">
      <alignment horizontal="right" vertical="center"/>
      <protection hidden="1"/>
    </xf>
    <xf numFmtId="0" fontId="17" fillId="0" borderId="10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left" vertical="center"/>
      <protection hidden="1"/>
    </xf>
    <xf numFmtId="0" fontId="17" fillId="0" borderId="10" xfId="0" applyFont="1" applyBorder="1" applyAlignment="1" applyProtection="1">
      <alignment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6" xfId="0" applyFont="1" applyBorder="1" applyAlignment="1" applyProtection="1">
      <alignment vertical="center"/>
      <protection hidden="1"/>
    </xf>
    <xf numFmtId="0" fontId="5" fillId="0" borderId="3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20" fillId="0" borderId="11" xfId="0" applyFont="1" applyBorder="1" applyAlignment="1" applyProtection="1">
      <alignment vertical="center"/>
      <protection hidden="1"/>
    </xf>
    <xf numFmtId="0" fontId="19" fillId="0" borderId="11" xfId="0" applyFont="1" applyBorder="1" applyAlignment="1" applyProtection="1">
      <alignment horizontal="right" vertical="center"/>
      <protection hidden="1"/>
    </xf>
    <xf numFmtId="1" fontId="20" fillId="0" borderId="11" xfId="0" applyNumberFormat="1" applyFont="1" applyBorder="1" applyAlignment="1" applyProtection="1">
      <alignment vertical="center"/>
      <protection hidden="1"/>
    </xf>
    <xf numFmtId="0" fontId="17" fillId="6" borderId="23" xfId="0" applyFont="1" applyFill="1" applyBorder="1" applyAlignment="1" applyProtection="1">
      <alignment vertical="center"/>
      <protection hidden="1"/>
    </xf>
    <xf numFmtId="0" fontId="17" fillId="6" borderId="1" xfId="0" applyFont="1" applyFill="1" applyBorder="1" applyAlignment="1" applyProtection="1">
      <alignment vertical="center"/>
      <protection hidden="1"/>
    </xf>
    <xf numFmtId="0" fontId="17" fillId="6" borderId="10" xfId="0" applyFont="1" applyFill="1" applyBorder="1" applyAlignment="1" applyProtection="1">
      <alignment vertical="center"/>
      <protection hidden="1"/>
    </xf>
    <xf numFmtId="0" fontId="17" fillId="0" borderId="4" xfId="0" applyFont="1" applyBorder="1" applyAlignment="1" applyProtection="1">
      <alignment vertical="center"/>
      <protection hidden="1"/>
    </xf>
    <xf numFmtId="0" fontId="10" fillId="0" borderId="10" xfId="0" applyFont="1" applyBorder="1" applyAlignment="1" applyProtection="1">
      <alignment vertical="center"/>
      <protection hidden="1"/>
    </xf>
    <xf numFmtId="0" fontId="17" fillId="0" borderId="5" xfId="0" applyFont="1" applyBorder="1" applyAlignment="1" applyProtection="1">
      <alignment vertical="center"/>
      <protection hidden="1"/>
    </xf>
    <xf numFmtId="0" fontId="18" fillId="0" borderId="11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1" fontId="20" fillId="0" borderId="11" xfId="0" applyNumberFormat="1" applyFont="1" applyBorder="1" applyAlignment="1" applyProtection="1">
      <alignment horizontal="right" vertical="center"/>
      <protection hidden="1"/>
    </xf>
    <xf numFmtId="1" fontId="20" fillId="0" borderId="28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17" fontId="0" fillId="16" borderId="35" xfId="0" applyNumberFormat="1" applyFill="1" applyBorder="1" applyAlignment="1" applyProtection="1">
      <alignment wrapText="1"/>
      <protection hidden="1"/>
    </xf>
    <xf numFmtId="0" fontId="43" fillId="10" borderId="44" xfId="0" applyFont="1" applyFill="1" applyBorder="1" applyAlignment="1" applyProtection="1">
      <alignment horizontal="center" vertical="center"/>
      <protection hidden="1"/>
    </xf>
    <xf numFmtId="0" fontId="43" fillId="10" borderId="4" xfId="0" applyFont="1" applyFill="1" applyBorder="1" applyAlignment="1" applyProtection="1">
      <alignment horizontal="center" vertical="center"/>
      <protection hidden="1"/>
    </xf>
    <xf numFmtId="0" fontId="0" fillId="16" borderId="5" xfId="0" applyFill="1" applyBorder="1" applyProtection="1">
      <protection hidden="1"/>
    </xf>
    <xf numFmtId="0" fontId="0" fillId="0" borderId="35" xfId="0" applyBorder="1" applyProtection="1">
      <protection hidden="1"/>
    </xf>
    <xf numFmtId="0" fontId="0" fillId="16" borderId="1" xfId="0" applyFill="1" applyBorder="1" applyProtection="1">
      <protection hidden="1"/>
    </xf>
    <xf numFmtId="0" fontId="0" fillId="0" borderId="2" xfId="0" applyBorder="1" applyProtection="1">
      <protection hidden="1"/>
    </xf>
    <xf numFmtId="0" fontId="22" fillId="12" borderId="1" xfId="0" applyFont="1" applyFill="1" applyBorder="1" applyProtection="1">
      <protection hidden="1"/>
    </xf>
    <xf numFmtId="0" fontId="22" fillId="13" borderId="1" xfId="0" applyFont="1" applyFill="1" applyBorder="1" applyProtection="1">
      <protection hidden="1"/>
    </xf>
    <xf numFmtId="0" fontId="0" fillId="14" borderId="1" xfId="0" applyFill="1" applyBorder="1" applyProtection="1">
      <protection hidden="1"/>
    </xf>
    <xf numFmtId="1" fontId="0" fillId="0" borderId="1" xfId="0" applyNumberFormat="1" applyBorder="1" applyProtection="1">
      <protection hidden="1"/>
    </xf>
    <xf numFmtId="0" fontId="0" fillId="13" borderId="1" xfId="0" applyFill="1" applyBorder="1" applyProtection="1">
      <protection hidden="1"/>
    </xf>
    <xf numFmtId="0" fontId="0" fillId="10" borderId="1" xfId="0" applyFill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7" fillId="3" borderId="1" xfId="0" applyFont="1" applyFill="1" applyBorder="1" applyAlignment="1" applyProtection="1">
      <alignment vertical="center"/>
      <protection locked="0"/>
    </xf>
    <xf numFmtId="0" fontId="17" fillId="3" borderId="1" xfId="0" applyFont="1" applyFill="1" applyBorder="1" applyAlignment="1" applyProtection="1">
      <alignment horizontal="right" vertical="center"/>
      <protection locked="0"/>
    </xf>
    <xf numFmtId="0" fontId="17" fillId="3" borderId="4" xfId="0" applyFont="1" applyFill="1" applyBorder="1" applyAlignment="1" applyProtection="1">
      <alignment horizontal="center" vertical="center"/>
      <protection locked="0"/>
    </xf>
    <xf numFmtId="0" fontId="0" fillId="17" borderId="23" xfId="0" applyFill="1" applyBorder="1" applyProtection="1">
      <protection locked="0" hidden="1"/>
    </xf>
    <xf numFmtId="0" fontId="0" fillId="17" borderId="0" xfId="0" applyFill="1" applyProtection="1">
      <protection locked="0" hidden="1"/>
    </xf>
    <xf numFmtId="0" fontId="0" fillId="17" borderId="25" xfId="0" applyFill="1" applyBorder="1" applyProtection="1">
      <protection locked="0"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0" fillId="11" borderId="0" xfId="0" applyFill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37" fillId="7" borderId="38" xfId="0" applyFont="1" applyFill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1" fontId="0" fillId="7" borderId="38" xfId="0" applyNumberFormat="1" applyFill="1" applyBorder="1" applyAlignment="1" applyProtection="1">
      <alignment horizontal="center" vertical="center"/>
      <protection hidden="1"/>
    </xf>
    <xf numFmtId="1" fontId="0" fillId="0" borderId="2" xfId="0" applyNumberFormat="1" applyBorder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49" fontId="0" fillId="0" borderId="1" xfId="0" applyNumberFormat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2" fillId="7" borderId="38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42" fillId="7" borderId="40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7" borderId="1" xfId="0" applyFill="1" applyBorder="1" applyProtection="1">
      <protection hidden="1"/>
    </xf>
    <xf numFmtId="0" fontId="32" fillId="12" borderId="38" xfId="0" applyFont="1" applyFill="1" applyBorder="1" applyAlignment="1" applyProtection="1">
      <alignment horizontal="center" vertical="center"/>
      <protection hidden="1"/>
    </xf>
    <xf numFmtId="1" fontId="0" fillId="7" borderId="1" xfId="0" applyNumberFormat="1" applyFill="1" applyBorder="1" applyAlignment="1" applyProtection="1">
      <alignment horizontal="center" vertical="center"/>
      <protection hidden="1"/>
    </xf>
    <xf numFmtId="0" fontId="54" fillId="2" borderId="1" xfId="0" applyFont="1" applyFill="1" applyBorder="1" applyAlignment="1" applyProtection="1">
      <alignment horizontal="center" vertical="center" wrapText="1"/>
      <protection hidden="1"/>
    </xf>
    <xf numFmtId="0" fontId="54" fillId="2" borderId="1" xfId="0" applyFont="1" applyFill="1" applyBorder="1" applyAlignment="1" applyProtection="1">
      <alignment horizontal="center" vertical="center"/>
      <protection hidden="1"/>
    </xf>
    <xf numFmtId="0" fontId="0" fillId="12" borderId="31" xfId="0" applyFill="1" applyBorder="1" applyAlignment="1" applyProtection="1">
      <alignment horizontal="center" vertical="center"/>
      <protection hidden="1"/>
    </xf>
    <xf numFmtId="0" fontId="0" fillId="12" borderId="25" xfId="0" applyFill="1" applyBorder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26" fillId="7" borderId="46" xfId="0" applyFont="1" applyFill="1" applyBorder="1" applyAlignment="1" applyProtection="1">
      <alignment horizontal="center" vertical="center"/>
      <protection hidden="1"/>
    </xf>
    <xf numFmtId="0" fontId="26" fillId="0" borderId="49" xfId="0" applyFont="1" applyBorder="1" applyAlignment="1" applyProtection="1">
      <alignment horizontal="center" vertical="center"/>
      <protection locked="0"/>
    </xf>
    <xf numFmtId="0" fontId="0" fillId="9" borderId="5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12" fillId="7" borderId="1" xfId="0" applyFont="1" applyFill="1" applyBorder="1" applyAlignment="1" applyProtection="1">
      <alignment horizontal="center" vertical="center"/>
      <protection hidden="1"/>
    </xf>
    <xf numFmtId="0" fontId="42" fillId="15" borderId="0" xfId="0" applyFont="1" applyFill="1" applyAlignment="1" applyProtection="1">
      <alignment horizontal="center" vertical="center"/>
      <protection hidden="1"/>
    </xf>
    <xf numFmtId="0" fontId="43" fillId="10" borderId="0" xfId="0" applyFont="1" applyFill="1" applyAlignment="1" applyProtection="1">
      <alignment horizontal="center" vertical="center"/>
      <protection hidden="1"/>
    </xf>
    <xf numFmtId="0" fontId="22" fillId="13" borderId="0" xfId="0" applyFont="1" applyFill="1" applyProtection="1">
      <protection hidden="1"/>
    </xf>
    <xf numFmtId="0" fontId="0" fillId="10" borderId="0" xfId="0" applyFill="1" applyProtection="1">
      <protection hidden="1"/>
    </xf>
    <xf numFmtId="1" fontId="0" fillId="0" borderId="0" xfId="0" applyNumberForma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2" fillId="12" borderId="0" xfId="0" applyFont="1" applyFill="1" applyAlignment="1" applyProtection="1">
      <alignment horizontal="center" vertical="center"/>
      <protection hidden="1"/>
    </xf>
    <xf numFmtId="0" fontId="0" fillId="10" borderId="38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7" borderId="4" xfId="0" applyFill="1" applyBorder="1" applyAlignment="1" applyProtection="1">
      <alignment horizontal="center" vertical="center"/>
      <protection hidden="1"/>
    </xf>
    <xf numFmtId="0" fontId="55" fillId="7" borderId="1" xfId="0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vertical="center" wrapText="1"/>
      <protection locked="0"/>
    </xf>
    <xf numFmtId="0" fontId="16" fillId="7" borderId="29" xfId="0" applyFont="1" applyFill="1" applyBorder="1" applyAlignment="1" applyProtection="1">
      <alignment vertical="center"/>
      <protection hidden="1"/>
    </xf>
    <xf numFmtId="0" fontId="16" fillId="7" borderId="30" xfId="0" applyFont="1" applyFill="1" applyBorder="1" applyAlignment="1" applyProtection="1">
      <alignment vertical="center"/>
      <protection hidden="1"/>
    </xf>
    <xf numFmtId="0" fontId="16" fillId="7" borderId="31" xfId="0" applyFont="1" applyFill="1" applyBorder="1" applyAlignment="1" applyProtection="1">
      <alignment vertical="center"/>
      <protection hidden="1"/>
    </xf>
    <xf numFmtId="0" fontId="0" fillId="7" borderId="32" xfId="0" applyFill="1" applyBorder="1" applyAlignment="1" applyProtection="1">
      <alignment vertical="center"/>
      <protection hidden="1"/>
    </xf>
    <xf numFmtId="0" fontId="0" fillId="7" borderId="33" xfId="0" applyFill="1" applyBorder="1" applyAlignment="1" applyProtection="1">
      <alignment vertical="center"/>
      <protection hidden="1"/>
    </xf>
    <xf numFmtId="0" fontId="0" fillId="7" borderId="34" xfId="0" applyFill="1" applyBorder="1" applyAlignment="1" applyProtection="1">
      <alignment vertical="center"/>
      <protection hidden="1"/>
    </xf>
    <xf numFmtId="0" fontId="16" fillId="7" borderId="23" xfId="0" applyFont="1" applyFill="1" applyBorder="1" applyAlignment="1" applyProtection="1">
      <alignment vertical="center"/>
      <protection hidden="1"/>
    </xf>
    <xf numFmtId="0" fontId="16" fillId="7" borderId="0" xfId="0" applyFont="1" applyFill="1" applyAlignment="1" applyProtection="1">
      <alignment vertical="center"/>
      <protection hidden="1"/>
    </xf>
    <xf numFmtId="0" fontId="16" fillId="7" borderId="25" xfId="0" applyFont="1" applyFill="1" applyBorder="1" applyAlignment="1" applyProtection="1">
      <alignment vertical="center"/>
      <protection hidden="1"/>
    </xf>
    <xf numFmtId="0" fontId="16" fillId="7" borderId="32" xfId="0" applyFont="1" applyFill="1" applyBorder="1" applyAlignment="1" applyProtection="1">
      <alignment vertical="center"/>
      <protection hidden="1"/>
    </xf>
    <xf numFmtId="0" fontId="16" fillId="7" borderId="33" xfId="0" applyFont="1" applyFill="1" applyBorder="1" applyAlignment="1" applyProtection="1">
      <alignment vertical="center"/>
      <protection hidden="1"/>
    </xf>
    <xf numFmtId="0" fontId="16" fillId="7" borderId="34" xfId="0" applyFont="1" applyFill="1" applyBorder="1" applyAlignment="1" applyProtection="1">
      <alignment vertical="center"/>
      <protection hidden="1"/>
    </xf>
    <xf numFmtId="0" fontId="0" fillId="7" borderId="41" xfId="0" applyFill="1" applyBorder="1" applyAlignment="1" applyProtection="1">
      <alignment vertical="center"/>
      <protection hidden="1"/>
    </xf>
    <xf numFmtId="0" fontId="0" fillId="7" borderId="42" xfId="0" applyFill="1" applyBorder="1" applyAlignment="1" applyProtection="1">
      <alignment vertical="center"/>
      <protection hidden="1"/>
    </xf>
    <xf numFmtId="0" fontId="0" fillId="7" borderId="43" xfId="0" applyFill="1" applyBorder="1" applyAlignment="1" applyProtection="1">
      <alignment vertical="center"/>
      <protection hidden="1"/>
    </xf>
    <xf numFmtId="0" fontId="59" fillId="0" borderId="0" xfId="0" applyFont="1" applyAlignment="1" applyProtection="1">
      <alignment horizontal="center" vertical="center" wrapText="1"/>
      <protection hidden="1"/>
    </xf>
    <xf numFmtId="0" fontId="60" fillId="0" borderId="0" xfId="0" applyFont="1" applyAlignment="1" applyProtection="1">
      <alignment vertical="center" wrapText="1"/>
      <protection hidden="1"/>
    </xf>
    <xf numFmtId="0" fontId="60" fillId="0" borderId="37" xfId="0" applyFont="1" applyBorder="1" applyAlignment="1" applyProtection="1">
      <alignment vertical="center" wrapText="1"/>
      <protection hidden="1"/>
    </xf>
    <xf numFmtId="0" fontId="5" fillId="0" borderId="47" xfId="0" applyFont="1" applyBorder="1" applyAlignment="1" applyProtection="1">
      <alignment vertical="center" wrapText="1"/>
      <protection hidden="1"/>
    </xf>
    <xf numFmtId="0" fontId="59" fillId="0" borderId="37" xfId="0" applyFont="1" applyBorder="1" applyAlignment="1" applyProtection="1">
      <alignment horizontal="center" vertical="center" wrapText="1"/>
      <protection hidden="1"/>
    </xf>
    <xf numFmtId="0" fontId="5" fillId="0" borderId="50" xfId="0" applyFont="1" applyBorder="1" applyAlignment="1" applyProtection="1">
      <alignment vertical="center" wrapText="1"/>
      <protection hidden="1"/>
    </xf>
    <xf numFmtId="0" fontId="5" fillId="0" borderId="36" xfId="0" applyFont="1" applyBorder="1" applyAlignment="1" applyProtection="1">
      <alignment horizontal="left" vertical="center" wrapText="1"/>
      <protection hidden="1"/>
    </xf>
    <xf numFmtId="0" fontId="61" fillId="3" borderId="36" xfId="0" applyFont="1" applyFill="1" applyBorder="1" applyAlignment="1" applyProtection="1">
      <alignment horizontal="center" vertical="center" wrapText="1"/>
      <protection hidden="1"/>
    </xf>
    <xf numFmtId="0" fontId="62" fillId="10" borderId="23" xfId="0" applyFont="1" applyFill="1" applyBorder="1" applyAlignment="1" applyProtection="1">
      <alignment vertical="center" wrapText="1"/>
      <protection hidden="1"/>
    </xf>
    <xf numFmtId="0" fontId="62" fillId="10" borderId="0" xfId="0" applyFont="1" applyFill="1" applyAlignment="1" applyProtection="1">
      <alignment vertical="center" wrapText="1"/>
      <protection hidden="1"/>
    </xf>
    <xf numFmtId="0" fontId="62" fillId="10" borderId="25" xfId="0" applyFont="1" applyFill="1" applyBorder="1" applyAlignment="1" applyProtection="1">
      <alignment vertical="center" wrapText="1"/>
      <protection hidden="1"/>
    </xf>
    <xf numFmtId="0" fontId="59" fillId="0" borderId="25" xfId="0" applyFont="1" applyBorder="1" applyAlignment="1" applyProtection="1">
      <alignment horizontal="center" vertical="center" wrapText="1"/>
      <protection hidden="1"/>
    </xf>
    <xf numFmtId="0" fontId="38" fillId="10" borderId="23" xfId="0" applyFont="1" applyFill="1" applyBorder="1" applyAlignment="1" applyProtection="1">
      <alignment vertical="center" wrapText="1"/>
      <protection hidden="1"/>
    </xf>
    <xf numFmtId="0" fontId="38" fillId="10" borderId="0" xfId="0" applyFont="1" applyFill="1" applyAlignment="1" applyProtection="1">
      <alignment vertical="center" wrapText="1"/>
      <protection hidden="1"/>
    </xf>
    <xf numFmtId="0" fontId="38" fillId="10" borderId="25" xfId="0" applyFont="1" applyFill="1" applyBorder="1" applyAlignment="1" applyProtection="1">
      <alignment vertical="center" wrapText="1"/>
      <protection hidden="1"/>
    </xf>
    <xf numFmtId="0" fontId="6" fillId="10" borderId="0" xfId="0" applyFont="1" applyFill="1" applyAlignment="1" applyProtection="1">
      <alignment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38" fillId="10" borderId="32" xfId="0" applyFont="1" applyFill="1" applyBorder="1" applyAlignment="1" applyProtection="1">
      <alignment vertical="center" wrapText="1"/>
      <protection hidden="1"/>
    </xf>
    <xf numFmtId="0" fontId="38" fillId="10" borderId="33" xfId="0" applyFont="1" applyFill="1" applyBorder="1" applyAlignment="1" applyProtection="1">
      <alignment vertical="center" wrapText="1"/>
      <protection hidden="1"/>
    </xf>
    <xf numFmtId="0" fontId="38" fillId="10" borderId="34" xfId="0" applyFont="1" applyFill="1" applyBorder="1" applyAlignment="1" applyProtection="1">
      <alignment vertical="center" wrapText="1"/>
      <protection hidden="1"/>
    </xf>
    <xf numFmtId="0" fontId="6" fillId="10" borderId="33" xfId="0" applyFont="1" applyFill="1" applyBorder="1" applyAlignment="1" applyProtection="1">
      <alignment vertical="center" wrapText="1"/>
      <protection hidden="1"/>
    </xf>
    <xf numFmtId="0" fontId="59" fillId="0" borderId="33" xfId="0" applyFont="1" applyBorder="1" applyAlignment="1" applyProtection="1">
      <alignment horizontal="center" vertical="center" wrapText="1"/>
      <protection hidden="1"/>
    </xf>
    <xf numFmtId="0" fontId="59" fillId="0" borderId="34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vertical="center" wrapText="1"/>
      <protection hidden="1"/>
    </xf>
    <xf numFmtId="2" fontId="5" fillId="0" borderId="1" xfId="0" applyNumberFormat="1" applyFont="1" applyBorder="1" applyAlignment="1" applyProtection="1">
      <alignment horizontal="right" vertical="center" wrapText="1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61" fillId="5" borderId="1" xfId="0" applyFont="1" applyFill="1" applyBorder="1" applyAlignment="1" applyProtection="1">
      <alignment horizontal="center" vertical="center" wrapText="1"/>
      <protection hidden="1"/>
    </xf>
    <xf numFmtId="49" fontId="13" fillId="0" borderId="1" xfId="0" applyNumberFormat="1" applyFont="1" applyBorder="1" applyAlignment="1" applyProtection="1">
      <alignment horizontal="center" vertical="center" wrapText="1"/>
      <protection hidden="1"/>
    </xf>
    <xf numFmtId="49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49" fontId="13" fillId="3" borderId="4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1" xfId="0" applyFont="1" applyBorder="1" applyAlignment="1" applyProtection="1">
      <alignment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right" vertical="center" wrapText="1"/>
      <protection hidden="1"/>
    </xf>
    <xf numFmtId="0" fontId="65" fillId="22" borderId="37" xfId="0" applyFont="1" applyFill="1" applyBorder="1" applyAlignment="1" applyProtection="1">
      <alignment horizontal="right" vertical="center" wrapText="1"/>
      <protection hidden="1"/>
    </xf>
    <xf numFmtId="0" fontId="65" fillId="22" borderId="51" xfId="0" applyFont="1" applyFill="1" applyBorder="1" applyAlignment="1" applyProtection="1">
      <alignment horizontal="right" vertical="center" wrapText="1"/>
      <protection hidden="1"/>
    </xf>
    <xf numFmtId="0" fontId="65" fillId="22" borderId="35" xfId="0" applyFont="1" applyFill="1" applyBorder="1" applyAlignment="1" applyProtection="1">
      <alignment horizontal="right" vertical="center" wrapText="1"/>
      <protection hidden="1"/>
    </xf>
    <xf numFmtId="0" fontId="65" fillId="22" borderId="44" xfId="0" applyFont="1" applyFill="1" applyBorder="1" applyAlignment="1" applyProtection="1">
      <alignment horizontal="right" vertical="center" wrapText="1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22" borderId="47" xfId="0" applyFont="1" applyFill="1" applyBorder="1" applyAlignment="1" applyProtection="1">
      <alignment vertical="center" wrapText="1"/>
      <protection hidden="1"/>
    </xf>
    <xf numFmtId="0" fontId="13" fillId="22" borderId="48" xfId="0" applyFont="1" applyFill="1" applyBorder="1" applyAlignment="1" applyProtection="1">
      <alignment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3" fillId="22" borderId="37" xfId="0" applyFont="1" applyFill="1" applyBorder="1" applyAlignment="1" applyProtection="1">
      <alignment vertical="center" wrapText="1"/>
      <protection hidden="1"/>
    </xf>
    <xf numFmtId="0" fontId="13" fillId="22" borderId="51" xfId="0" applyFont="1" applyFill="1" applyBorder="1" applyAlignment="1" applyProtection="1">
      <alignment vertical="center" wrapText="1"/>
      <protection hidden="1"/>
    </xf>
    <xf numFmtId="0" fontId="59" fillId="0" borderId="0" xfId="0" applyFont="1" applyAlignment="1" applyProtection="1">
      <alignment vertical="center" wrapText="1"/>
      <protection hidden="1"/>
    </xf>
    <xf numFmtId="0" fontId="65" fillId="23" borderId="37" xfId="0" applyFont="1" applyFill="1" applyBorder="1" applyAlignment="1" applyProtection="1">
      <alignment vertical="center" wrapText="1"/>
      <protection hidden="1"/>
    </xf>
    <xf numFmtId="0" fontId="65" fillId="23" borderId="51" xfId="0" applyFont="1" applyFill="1" applyBorder="1" applyAlignment="1" applyProtection="1">
      <alignment vertical="center" wrapText="1"/>
      <protection hidden="1"/>
    </xf>
    <xf numFmtId="0" fontId="6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6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3" fillId="0" borderId="0" xfId="0" applyFont="1" applyAlignment="1" applyProtection="1">
      <alignment vertical="center" wrapText="1"/>
      <protection hidden="1"/>
    </xf>
    <xf numFmtId="49" fontId="13" fillId="0" borderId="0" xfId="0" applyNumberFormat="1" applyFont="1" applyAlignment="1" applyProtection="1">
      <alignment vertical="center" wrapText="1"/>
      <protection hidden="1"/>
    </xf>
    <xf numFmtId="49" fontId="14" fillId="0" borderId="0" xfId="0" applyNumberFormat="1" applyFont="1" applyAlignment="1" applyProtection="1">
      <alignment vertical="center" wrapText="1"/>
      <protection hidden="1"/>
    </xf>
    <xf numFmtId="0" fontId="61" fillId="0" borderId="0" xfId="0" applyFont="1" applyAlignment="1" applyProtection="1">
      <alignment vertical="center" wrapText="1"/>
      <protection hidden="1"/>
    </xf>
    <xf numFmtId="0" fontId="69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70" fillId="10" borderId="0" xfId="0" applyFont="1" applyFill="1" applyAlignment="1">
      <alignment vertical="center" wrapText="1"/>
    </xf>
    <xf numFmtId="1" fontId="65" fillId="0" borderId="1" xfId="0" applyNumberFormat="1" applyFont="1" applyBorder="1" applyAlignment="1" applyProtection="1">
      <alignment horizontal="center" vertical="center" wrapText="1"/>
      <protection hidden="1"/>
    </xf>
    <xf numFmtId="0" fontId="70" fillId="27" borderId="1" xfId="0" applyFont="1" applyFill="1" applyBorder="1" applyAlignment="1">
      <alignment vertical="center" wrapText="1"/>
    </xf>
    <xf numFmtId="1" fontId="71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wrapText="1"/>
      <protection locked="0"/>
    </xf>
    <xf numFmtId="0" fontId="0" fillId="8" borderId="1" xfId="0" applyFill="1" applyBorder="1"/>
    <xf numFmtId="0" fontId="0" fillId="10" borderId="1" xfId="0" applyFill="1" applyBorder="1"/>
    <xf numFmtId="0" fontId="0" fillId="10" borderId="0" xfId="0" applyFill="1"/>
    <xf numFmtId="0" fontId="0" fillId="0" borderId="0" xfId="0" applyAlignment="1">
      <alignment horizontal="center" vertical="center"/>
    </xf>
    <xf numFmtId="0" fontId="0" fillId="15" borderId="1" xfId="0" applyFill="1" applyBorder="1"/>
    <xf numFmtId="0" fontId="75" fillId="0" borderId="55" xfId="0" applyFont="1" applyBorder="1" applyAlignment="1" applyProtection="1">
      <alignment horizontal="center" vertical="center"/>
      <protection hidden="1"/>
    </xf>
    <xf numFmtId="0" fontId="76" fillId="0" borderId="56" xfId="0" applyFont="1" applyBorder="1" applyAlignment="1" applyProtection="1">
      <alignment vertical="center"/>
      <protection hidden="1"/>
    </xf>
    <xf numFmtId="0" fontId="76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horizontal="center" vertical="center"/>
      <protection hidden="1"/>
    </xf>
    <xf numFmtId="0" fontId="76" fillId="0" borderId="63" xfId="0" applyFont="1" applyBorder="1" applyAlignment="1" applyProtection="1">
      <alignment vertical="center"/>
      <protection hidden="1"/>
    </xf>
    <xf numFmtId="0" fontId="76" fillId="0" borderId="56" xfId="0" applyFont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76" fillId="0" borderId="64" xfId="0" applyFont="1" applyBorder="1" applyAlignment="1" applyProtection="1">
      <alignment horizontal="center" vertical="center"/>
      <protection hidden="1"/>
    </xf>
    <xf numFmtId="0" fontId="80" fillId="0" borderId="0" xfId="0" applyFont="1" applyAlignment="1" applyProtection="1">
      <alignment horizontal="center" vertical="center"/>
      <protection hidden="1"/>
    </xf>
    <xf numFmtId="0" fontId="24" fillId="0" borderId="56" xfId="0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64" xfId="0" applyFont="1" applyBorder="1" applyAlignment="1" applyProtection="1">
      <alignment horizontal="center" vertical="center"/>
      <protection hidden="1"/>
    </xf>
    <xf numFmtId="0" fontId="77" fillId="10" borderId="0" xfId="0" applyFont="1" applyFill="1" applyAlignment="1" applyProtection="1">
      <alignment vertical="top" wrapText="1"/>
      <protection hidden="1"/>
    </xf>
    <xf numFmtId="0" fontId="76" fillId="0" borderId="69" xfId="0" applyFont="1" applyBorder="1" applyAlignment="1" applyProtection="1">
      <alignment vertical="center"/>
      <protection hidden="1"/>
    </xf>
    <xf numFmtId="0" fontId="76" fillId="0" borderId="71" xfId="0" applyFont="1" applyBorder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86" fillId="0" borderId="0" xfId="0" applyFont="1" applyAlignment="1" applyProtection="1">
      <alignment vertical="center" wrapText="1"/>
      <protection hidden="1"/>
    </xf>
    <xf numFmtId="0" fontId="76" fillId="0" borderId="23" xfId="0" applyFont="1" applyBorder="1" applyProtection="1">
      <protection hidden="1"/>
    </xf>
    <xf numFmtId="0" fontId="76" fillId="0" borderId="25" xfId="0" applyFont="1" applyBorder="1" applyProtection="1">
      <protection hidden="1"/>
    </xf>
    <xf numFmtId="0" fontId="87" fillId="0" borderId="23" xfId="0" applyFont="1" applyBorder="1" applyAlignment="1" applyProtection="1">
      <alignment vertical="center"/>
      <protection hidden="1"/>
    </xf>
    <xf numFmtId="0" fontId="79" fillId="0" borderId="23" xfId="0" applyFont="1" applyBorder="1" applyAlignment="1" applyProtection="1">
      <alignment horizontal="left" vertical="center" wrapText="1"/>
      <protection hidden="1"/>
    </xf>
    <xf numFmtId="0" fontId="79" fillId="0" borderId="0" xfId="0" applyFont="1" applyAlignment="1" applyProtection="1">
      <alignment horizontal="left" vertical="center" wrapText="1"/>
      <protection hidden="1"/>
    </xf>
    <xf numFmtId="0" fontId="76" fillId="0" borderId="0" xfId="0" applyFont="1" applyAlignment="1" applyProtection="1">
      <alignment horizontal="center"/>
      <protection hidden="1"/>
    </xf>
    <xf numFmtId="0" fontId="76" fillId="0" borderId="25" xfId="0" applyFont="1" applyBorder="1" applyAlignment="1" applyProtection="1">
      <alignment horizontal="center"/>
      <protection hidden="1"/>
    </xf>
    <xf numFmtId="0" fontId="76" fillId="0" borderId="33" xfId="0" applyFont="1" applyBorder="1" applyProtection="1">
      <protection hidden="1"/>
    </xf>
    <xf numFmtId="0" fontId="76" fillId="0" borderId="34" xfId="0" applyFont="1" applyBorder="1" applyProtection="1">
      <protection hidden="1"/>
    </xf>
    <xf numFmtId="0" fontId="32" fillId="0" borderId="0" xfId="0" applyFont="1" applyAlignment="1" applyProtection="1">
      <alignment horizontal="center" vertical="center"/>
      <protection locked="0"/>
    </xf>
    <xf numFmtId="0" fontId="0" fillId="30" borderId="1" xfId="0" applyFill="1" applyBorder="1" applyAlignment="1" applyProtection="1">
      <alignment horizontal="center"/>
      <protection hidden="1"/>
    </xf>
    <xf numFmtId="0" fontId="0" fillId="12" borderId="1" xfId="0" applyFill="1" applyBorder="1" applyProtection="1">
      <protection hidden="1"/>
    </xf>
    <xf numFmtId="0" fontId="0" fillId="31" borderId="1" xfId="0" applyFill="1" applyBorder="1" applyProtection="1">
      <protection hidden="1"/>
    </xf>
    <xf numFmtId="9" fontId="0" fillId="0" borderId="1" xfId="0" applyNumberFormat="1" applyBorder="1" applyProtection="1">
      <protection hidden="1"/>
    </xf>
    <xf numFmtId="49" fontId="23" fillId="0" borderId="33" xfId="0" applyNumberFormat="1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textRotation="90"/>
      <protection hidden="1"/>
    </xf>
    <xf numFmtId="0" fontId="9" fillId="18" borderId="1" xfId="0" applyFont="1" applyFill="1" applyBorder="1" applyAlignment="1" applyProtection="1">
      <alignment horizontal="center" vertical="center" textRotation="90" wrapText="1"/>
      <protection hidden="1"/>
    </xf>
    <xf numFmtId="0" fontId="9" fillId="18" borderId="1" xfId="0" applyFont="1" applyFill="1" applyBorder="1" applyAlignment="1" applyProtection="1">
      <alignment horizontal="center" vertical="center" textRotation="90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  <protection hidden="1"/>
    </xf>
    <xf numFmtId="0" fontId="3" fillId="0" borderId="1" xfId="0" applyFont="1" applyBorder="1" applyAlignment="1" applyProtection="1">
      <alignment horizontal="center" vertical="center" textRotation="90" wrapText="1"/>
      <protection hidden="1"/>
    </xf>
    <xf numFmtId="0" fontId="9" fillId="18" borderId="1" xfId="0" applyFont="1" applyFill="1" applyBorder="1" applyAlignment="1" applyProtection="1">
      <alignment horizontal="center" vertical="center" wrapText="1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49" fontId="14" fillId="0" borderId="1" xfId="0" applyNumberFormat="1" applyFont="1" applyBorder="1" applyAlignment="1" applyProtection="1">
      <alignment horizontal="center" vertical="center" wrapText="1"/>
      <protection hidden="1"/>
    </xf>
    <xf numFmtId="49" fontId="14" fillId="0" borderId="11" xfId="0" applyNumberFormat="1" applyFont="1" applyBorder="1" applyAlignment="1" applyProtection="1">
      <alignment horizontal="center" vertical="center" wrapText="1"/>
      <protection hidden="1"/>
    </xf>
    <xf numFmtId="1" fontId="12" fillId="0" borderId="1" xfId="0" applyNumberFormat="1" applyFont="1" applyBorder="1" applyAlignment="1" applyProtection="1">
      <alignment horizontal="center" vertical="center"/>
      <protection hidden="1"/>
    </xf>
    <xf numFmtId="0" fontId="11" fillId="18" borderId="1" xfId="0" applyFont="1" applyFill="1" applyBorder="1" applyAlignment="1" applyProtection="1">
      <alignment horizontal="center" vertical="center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9" fontId="0" fillId="0" borderId="0" xfId="0" applyNumberFormat="1" applyProtection="1">
      <protection hidden="1"/>
    </xf>
    <xf numFmtId="1" fontId="0" fillId="12" borderId="31" xfId="0" applyNumberFormat="1" applyFill="1" applyBorder="1" applyAlignment="1" applyProtection="1">
      <alignment horizontal="center" vertical="center"/>
      <protection hidden="1"/>
    </xf>
    <xf numFmtId="1" fontId="0" fillId="7" borderId="31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left" vertical="center" wrapText="1"/>
      <protection hidden="1"/>
    </xf>
    <xf numFmtId="0" fontId="97" fillId="11" borderId="1" xfId="0" applyFont="1" applyFill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locked="0"/>
    </xf>
    <xf numFmtId="0" fontId="95" fillId="10" borderId="0" xfId="0" applyFont="1" applyFill="1" applyAlignment="1" applyProtection="1">
      <alignment horizontal="center" wrapText="1"/>
      <protection hidden="1"/>
    </xf>
    <xf numFmtId="0" fontId="96" fillId="10" borderId="0" xfId="0" applyFont="1" applyFill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horizontal="center" vertical="center"/>
      <protection locked="0"/>
    </xf>
    <xf numFmtId="0" fontId="0" fillId="27" borderId="2" xfId="0" applyFill="1" applyBorder="1" applyAlignment="1" applyProtection="1">
      <alignment horizontal="center" vertical="center"/>
      <protection hidden="1"/>
    </xf>
    <xf numFmtId="0" fontId="0" fillId="27" borderId="3" xfId="0" applyFill="1" applyBorder="1" applyAlignment="1" applyProtection="1">
      <alignment horizontal="center" vertical="center"/>
      <protection hidden="1"/>
    </xf>
    <xf numFmtId="0" fontId="0" fillId="27" borderId="4" xfId="0" applyFill="1" applyBorder="1" applyAlignment="1" applyProtection="1">
      <alignment horizontal="center" vertical="center"/>
      <protection hidden="1"/>
    </xf>
    <xf numFmtId="0" fontId="72" fillId="0" borderId="2" xfId="0" applyFont="1" applyBorder="1" applyAlignment="1" applyProtection="1">
      <alignment horizontal="center" vertical="center"/>
      <protection hidden="1"/>
    </xf>
    <xf numFmtId="0" fontId="72" fillId="0" borderId="4" xfId="0" applyFont="1" applyBorder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70" fillId="27" borderId="49" xfId="0" applyFont="1" applyFill="1" applyBorder="1" applyAlignment="1">
      <alignment horizontal="center" vertical="center" wrapText="1"/>
    </xf>
    <xf numFmtId="0" fontId="70" fillId="27" borderId="5" xfId="0" applyFont="1" applyFill="1" applyBorder="1" applyAlignment="1">
      <alignment horizontal="center" vertical="center" wrapText="1"/>
    </xf>
    <xf numFmtId="0" fontId="0" fillId="9" borderId="2" xfId="0" applyFill="1" applyBorder="1" applyAlignment="1" applyProtection="1">
      <alignment horizontal="center" vertical="center"/>
      <protection hidden="1"/>
    </xf>
    <xf numFmtId="0" fontId="0" fillId="9" borderId="4" xfId="0" applyFill="1" applyBorder="1" applyAlignment="1" applyProtection="1">
      <alignment horizontal="center" vertical="center"/>
      <protection hidden="1"/>
    </xf>
    <xf numFmtId="0" fontId="1" fillId="9" borderId="2" xfId="0" applyFont="1" applyFill="1" applyBorder="1" applyAlignment="1" applyProtection="1">
      <alignment horizontal="center" vertical="center" wrapText="1"/>
      <protection hidden="1"/>
    </xf>
    <xf numFmtId="0" fontId="1" fillId="9" borderId="4" xfId="0" applyFont="1" applyFill="1" applyBorder="1" applyAlignment="1" applyProtection="1">
      <alignment horizontal="center" vertical="center" wrapText="1"/>
      <protection hidden="1"/>
    </xf>
    <xf numFmtId="0" fontId="0" fillId="29" borderId="0" xfId="0" applyFill="1" applyAlignment="1" applyProtection="1">
      <alignment horizontal="center"/>
      <protection hidden="1"/>
    </xf>
    <xf numFmtId="0" fontId="95" fillId="8" borderId="41" xfId="0" applyFont="1" applyFill="1" applyBorder="1" applyAlignment="1" applyProtection="1">
      <alignment horizontal="center" wrapText="1"/>
      <protection hidden="1"/>
    </xf>
    <xf numFmtId="0" fontId="95" fillId="8" borderId="42" xfId="0" applyFont="1" applyFill="1" applyBorder="1" applyAlignment="1" applyProtection="1">
      <alignment horizontal="center" wrapText="1"/>
      <protection hidden="1"/>
    </xf>
    <xf numFmtId="0" fontId="95" fillId="8" borderId="43" xfId="0" applyFont="1" applyFill="1" applyBorder="1" applyAlignment="1" applyProtection="1">
      <alignment horizontal="center" wrapText="1"/>
      <protection hidden="1"/>
    </xf>
    <xf numFmtId="0" fontId="0" fillId="0" borderId="2" xfId="0" applyBorder="1" applyAlignment="1" applyProtection="1">
      <alignment horizontal="center" wrapText="1"/>
      <protection locked="0"/>
    </xf>
    <xf numFmtId="0" fontId="0" fillId="0" borderId="4" xfId="0" applyBorder="1" applyAlignment="1" applyProtection="1">
      <alignment horizontal="center" wrapText="1"/>
      <protection locked="0"/>
    </xf>
    <xf numFmtId="0" fontId="73" fillId="26" borderId="2" xfId="0" applyFont="1" applyFill="1" applyBorder="1" applyAlignment="1" applyProtection="1">
      <alignment horizontal="center" vertical="center" wrapText="1"/>
      <protection hidden="1"/>
    </xf>
    <xf numFmtId="0" fontId="73" fillId="26" borderId="3" xfId="0" applyFont="1" applyFill="1" applyBorder="1" applyAlignment="1" applyProtection="1">
      <alignment horizontal="center" vertical="center" wrapText="1"/>
      <protection hidden="1"/>
    </xf>
    <xf numFmtId="0" fontId="73" fillId="26" borderId="4" xfId="0" applyFont="1" applyFill="1" applyBorder="1" applyAlignment="1" applyProtection="1">
      <alignment horizontal="center" vertical="center" wrapText="1"/>
      <protection hidden="1"/>
    </xf>
    <xf numFmtId="0" fontId="0" fillId="9" borderId="4" xfId="0" applyFill="1" applyBorder="1" applyAlignment="1" applyProtection="1">
      <alignment horizontal="center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12" borderId="32" xfId="0" applyFill="1" applyBorder="1" applyAlignment="1" applyProtection="1">
      <alignment horizontal="center"/>
      <protection hidden="1"/>
    </xf>
    <xf numFmtId="0" fontId="0" fillId="12" borderId="33" xfId="0" applyFill="1" applyBorder="1" applyAlignment="1" applyProtection="1">
      <alignment horizont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9" borderId="2" xfId="0" applyFill="1" applyBorder="1" applyAlignment="1" applyProtection="1">
      <alignment horizontal="center"/>
      <protection hidden="1"/>
    </xf>
    <xf numFmtId="1" fontId="0" fillId="0" borderId="1" xfId="0" applyNumberFormat="1" applyBorder="1" applyAlignment="1" applyProtection="1">
      <alignment horizontal="center"/>
      <protection locked="0"/>
    </xf>
    <xf numFmtId="0" fontId="0" fillId="10" borderId="2" xfId="0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0" fontId="0" fillId="10" borderId="4" xfId="0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wrapText="1"/>
      <protection hidden="1"/>
    </xf>
    <xf numFmtId="0" fontId="0" fillId="8" borderId="23" xfId="0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0" fillId="8" borderId="25" xfId="0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10" borderId="35" xfId="0" applyFill="1" applyBorder="1" applyAlignment="1" applyProtection="1">
      <alignment horizontal="center" vertical="center"/>
      <protection locked="0"/>
    </xf>
    <xf numFmtId="0" fontId="0" fillId="10" borderId="36" xfId="0" applyFill="1" applyBorder="1" applyAlignment="1" applyProtection="1">
      <alignment horizontal="center" vertical="center"/>
      <protection locked="0"/>
    </xf>
    <xf numFmtId="0" fontId="1" fillId="9" borderId="2" xfId="0" applyFont="1" applyFill="1" applyBorder="1" applyAlignment="1" applyProtection="1">
      <alignment horizontal="center" vertical="center"/>
      <protection hidden="1"/>
    </xf>
    <xf numFmtId="0" fontId="1" fillId="9" borderId="4" xfId="0" applyFont="1" applyFill="1" applyBorder="1" applyAlignment="1" applyProtection="1">
      <alignment horizontal="center" vertical="center"/>
      <protection hidden="1"/>
    </xf>
    <xf numFmtId="0" fontId="0" fillId="8" borderId="2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0" fillId="8" borderId="4" xfId="0" applyFill="1" applyBorder="1" applyAlignment="1" applyProtection="1">
      <alignment horizontal="center" vertical="center"/>
      <protection hidden="1"/>
    </xf>
    <xf numFmtId="0" fontId="1" fillId="9" borderId="47" xfId="0" applyFont="1" applyFill="1" applyBorder="1" applyAlignment="1" applyProtection="1">
      <alignment horizontal="center" vertical="center"/>
      <protection hidden="1"/>
    </xf>
    <xf numFmtId="0" fontId="1" fillId="9" borderId="48" xfId="0" applyFont="1" applyFill="1" applyBorder="1" applyAlignment="1" applyProtection="1">
      <alignment horizontal="center" vertical="center"/>
      <protection hidden="1"/>
    </xf>
    <xf numFmtId="1" fontId="0" fillId="0" borderId="49" xfId="0" applyNumberFormat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 vertical="center"/>
      <protection locked="0"/>
    </xf>
    <xf numFmtId="0" fontId="24" fillId="8" borderId="29" xfId="0" applyFont="1" applyFill="1" applyBorder="1" applyAlignment="1" applyProtection="1">
      <alignment horizontal="center"/>
      <protection hidden="1"/>
    </xf>
    <xf numFmtId="0" fontId="24" fillId="8" borderId="30" xfId="0" applyFont="1" applyFill="1" applyBorder="1" applyAlignment="1" applyProtection="1">
      <alignment horizontal="center"/>
      <protection hidden="1"/>
    </xf>
    <xf numFmtId="0" fontId="24" fillId="8" borderId="31" xfId="0" applyFont="1" applyFill="1" applyBorder="1" applyAlignment="1" applyProtection="1">
      <alignment horizontal="center"/>
      <protection hidden="1"/>
    </xf>
    <xf numFmtId="0" fontId="40" fillId="8" borderId="32" xfId="0" applyFont="1" applyFill="1" applyBorder="1" applyAlignment="1" applyProtection="1">
      <alignment horizontal="center" wrapText="1"/>
      <protection hidden="1"/>
    </xf>
    <xf numFmtId="0" fontId="40" fillId="8" borderId="33" xfId="0" applyFont="1" applyFill="1" applyBorder="1" applyAlignment="1" applyProtection="1">
      <alignment horizontal="center" wrapText="1"/>
      <protection hidden="1"/>
    </xf>
    <xf numFmtId="0" fontId="40" fillId="8" borderId="34" xfId="0" applyFont="1" applyFill="1" applyBorder="1" applyAlignment="1" applyProtection="1">
      <alignment horizontal="center" wrapText="1"/>
      <protection hidden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 wrapText="1"/>
      <protection hidden="1"/>
    </xf>
    <xf numFmtId="0" fontId="39" fillId="11" borderId="2" xfId="0" applyFont="1" applyFill="1" applyBorder="1" applyAlignment="1" applyProtection="1">
      <alignment horizontal="center" vertical="center"/>
      <protection locked="0"/>
    </xf>
    <xf numFmtId="0" fontId="39" fillId="11" borderId="4" xfId="0" applyFont="1" applyFill="1" applyBorder="1" applyAlignment="1" applyProtection="1">
      <alignment horizontal="center" vertical="center"/>
      <protection locked="0"/>
    </xf>
    <xf numFmtId="0" fontId="0" fillId="9" borderId="2" xfId="0" applyFill="1" applyBorder="1" applyAlignment="1" applyProtection="1">
      <alignment horizontal="center" vertical="center" wrapText="1"/>
      <protection hidden="1"/>
    </xf>
    <xf numFmtId="0" fontId="0" fillId="9" borderId="4" xfId="0" applyFill="1" applyBorder="1" applyAlignment="1" applyProtection="1">
      <alignment horizontal="center" vertical="center" wrapText="1"/>
      <protection hidden="1"/>
    </xf>
    <xf numFmtId="0" fontId="26" fillId="0" borderId="2" xfId="0" applyFont="1" applyBorder="1" applyAlignment="1" applyProtection="1">
      <alignment horizontal="center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1" fillId="9" borderId="2" xfId="0" applyFont="1" applyFill="1" applyBorder="1" applyAlignment="1" applyProtection="1">
      <alignment horizontal="center" wrapText="1"/>
      <protection hidden="1"/>
    </xf>
    <xf numFmtId="0" fontId="1" fillId="9" borderId="3" xfId="0" applyFont="1" applyFill="1" applyBorder="1" applyAlignment="1" applyProtection="1">
      <alignment horizontal="center" wrapText="1"/>
      <protection hidden="1"/>
    </xf>
    <xf numFmtId="0" fontId="1" fillId="9" borderId="4" xfId="0" applyFont="1" applyFill="1" applyBorder="1" applyAlignment="1" applyProtection="1">
      <alignment horizontal="center" wrapText="1"/>
      <protection hidden="1"/>
    </xf>
    <xf numFmtId="0" fontId="2" fillId="9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 wrapText="1"/>
      <protection hidden="1"/>
    </xf>
    <xf numFmtId="0" fontId="32" fillId="11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21" borderId="0" xfId="0" applyFill="1" applyAlignment="1" applyProtection="1">
      <alignment horizontal="center"/>
      <protection hidden="1"/>
    </xf>
    <xf numFmtId="0" fontId="57" fillId="21" borderId="41" xfId="1" applyFill="1" applyBorder="1" applyAlignment="1">
      <alignment horizontal="center"/>
    </xf>
    <xf numFmtId="0" fontId="57" fillId="21" borderId="42" xfId="1" applyFill="1" applyBorder="1" applyAlignment="1">
      <alignment horizontal="center"/>
    </xf>
    <xf numFmtId="0" fontId="57" fillId="21" borderId="43" xfId="1" applyFill="1" applyBorder="1" applyAlignment="1">
      <alignment horizontal="center"/>
    </xf>
    <xf numFmtId="0" fontId="56" fillId="7" borderId="41" xfId="0" applyFont="1" applyFill="1" applyBorder="1" applyAlignment="1" applyProtection="1">
      <alignment horizontal="center" vertical="center"/>
      <protection hidden="1"/>
    </xf>
    <xf numFmtId="0" fontId="56" fillId="7" borderId="42" xfId="0" applyFont="1" applyFill="1" applyBorder="1" applyAlignment="1" applyProtection="1">
      <alignment horizontal="center" vertical="center"/>
      <protection hidden="1"/>
    </xf>
    <xf numFmtId="0" fontId="56" fillId="7" borderId="43" xfId="0" applyFont="1" applyFill="1" applyBorder="1" applyAlignment="1" applyProtection="1">
      <alignment horizontal="center" vertical="center"/>
      <protection hidden="1"/>
    </xf>
    <xf numFmtId="0" fontId="64" fillId="25" borderId="2" xfId="0" applyFont="1" applyFill="1" applyBorder="1" applyAlignment="1">
      <alignment horizontal="center" vertical="center"/>
    </xf>
    <xf numFmtId="0" fontId="64" fillId="25" borderId="3" xfId="0" applyFont="1" applyFill="1" applyBorder="1" applyAlignment="1">
      <alignment horizontal="center" vertical="center"/>
    </xf>
    <xf numFmtId="0" fontId="64" fillId="25" borderId="4" xfId="0" applyFont="1" applyFill="1" applyBorder="1" applyAlignment="1">
      <alignment horizontal="center" vertical="center"/>
    </xf>
    <xf numFmtId="0" fontId="0" fillId="10" borderId="2" xfId="0" applyFill="1" applyBorder="1" applyAlignment="1" applyProtection="1">
      <alignment horizontal="left" vertical="center"/>
      <protection locked="0"/>
    </xf>
    <xf numFmtId="0" fontId="0" fillId="10" borderId="3" xfId="0" applyFill="1" applyBorder="1" applyAlignment="1" applyProtection="1">
      <alignment horizontal="left" vertical="center"/>
      <protection locked="0"/>
    </xf>
    <xf numFmtId="0" fontId="0" fillId="10" borderId="4" xfId="0" applyFill="1" applyBorder="1" applyAlignment="1" applyProtection="1">
      <alignment horizontal="left" vertical="center"/>
      <protection locked="0"/>
    </xf>
    <xf numFmtId="0" fontId="16" fillId="7" borderId="29" xfId="0" applyFont="1" applyFill="1" applyBorder="1" applyAlignment="1" applyProtection="1">
      <alignment horizontal="center" vertical="center"/>
      <protection hidden="1"/>
    </xf>
    <xf numFmtId="0" fontId="16" fillId="7" borderId="30" xfId="0" applyFont="1" applyFill="1" applyBorder="1" applyAlignment="1" applyProtection="1">
      <alignment horizontal="center" vertical="center"/>
      <protection hidden="1"/>
    </xf>
    <xf numFmtId="0" fontId="16" fillId="7" borderId="31" xfId="0" applyFont="1" applyFill="1" applyBorder="1" applyAlignment="1" applyProtection="1">
      <alignment horizontal="center" vertical="center"/>
      <protection hidden="1"/>
    </xf>
    <xf numFmtId="0" fontId="0" fillId="7" borderId="32" xfId="0" applyFill="1" applyBorder="1" applyAlignment="1" applyProtection="1">
      <alignment horizontal="center" vertical="center"/>
      <protection hidden="1"/>
    </xf>
    <xf numFmtId="0" fontId="0" fillId="7" borderId="33" xfId="0" applyFill="1" applyBorder="1" applyAlignment="1" applyProtection="1">
      <alignment horizontal="center" vertical="center"/>
      <protection hidden="1"/>
    </xf>
    <xf numFmtId="0" fontId="0" fillId="7" borderId="34" xfId="0" applyFill="1" applyBorder="1" applyAlignment="1" applyProtection="1">
      <alignment horizontal="center" vertical="center"/>
      <protection hidden="1"/>
    </xf>
    <xf numFmtId="0" fontId="28" fillId="19" borderId="41" xfId="0" applyFont="1" applyFill="1" applyBorder="1" applyAlignment="1" applyProtection="1">
      <alignment horizontal="center" vertical="center"/>
      <protection locked="0"/>
    </xf>
    <xf numFmtId="0" fontId="28" fillId="19" borderId="42" xfId="0" applyFont="1" applyFill="1" applyBorder="1" applyAlignment="1" applyProtection="1">
      <alignment horizontal="center" vertical="center"/>
      <protection locked="0"/>
    </xf>
    <xf numFmtId="0" fontId="28" fillId="19" borderId="43" xfId="0" applyFont="1" applyFill="1" applyBorder="1" applyAlignment="1" applyProtection="1">
      <alignment horizontal="center" vertical="center"/>
      <protection locked="0"/>
    </xf>
    <xf numFmtId="0" fontId="0" fillId="10" borderId="37" xfId="0" applyFill="1" applyBorder="1" applyAlignment="1" applyProtection="1">
      <alignment horizontal="center"/>
      <protection hidden="1"/>
    </xf>
    <xf numFmtId="0" fontId="0" fillId="10" borderId="25" xfId="0" applyFill="1" applyBorder="1" applyAlignment="1" applyProtection="1">
      <alignment horizontal="center"/>
      <protection hidden="1"/>
    </xf>
    <xf numFmtId="0" fontId="29" fillId="0" borderId="37" xfId="0" applyFont="1" applyBorder="1" applyAlignment="1" applyProtection="1">
      <alignment horizontal="left" vertical="top"/>
      <protection hidden="1"/>
    </xf>
    <xf numFmtId="0" fontId="29" fillId="0" borderId="0" xfId="0" applyFont="1" applyAlignment="1" applyProtection="1">
      <alignment horizontal="left" vertical="top"/>
      <protection hidden="1"/>
    </xf>
    <xf numFmtId="0" fontId="47" fillId="12" borderId="41" xfId="0" applyFont="1" applyFill="1" applyBorder="1" applyAlignment="1" applyProtection="1">
      <alignment horizontal="center" vertical="center"/>
      <protection hidden="1"/>
    </xf>
    <xf numFmtId="0" fontId="47" fillId="12" borderId="42" xfId="0" applyFont="1" applyFill="1" applyBorder="1" applyAlignment="1" applyProtection="1">
      <alignment horizontal="center" vertical="center"/>
      <protection hidden="1"/>
    </xf>
    <xf numFmtId="0" fontId="47" fillId="12" borderId="43" xfId="0" applyFont="1" applyFill="1" applyBorder="1" applyAlignment="1" applyProtection="1">
      <alignment horizontal="center" vertical="center"/>
      <protection hidden="1"/>
    </xf>
    <xf numFmtId="0" fontId="48" fillId="0" borderId="29" xfId="0" applyFont="1" applyBorder="1" applyAlignment="1" applyProtection="1">
      <alignment horizontal="left" vertical="center" wrapText="1"/>
      <protection hidden="1"/>
    </xf>
    <xf numFmtId="0" fontId="48" fillId="0" borderId="30" xfId="0" applyFont="1" applyBorder="1" applyAlignment="1" applyProtection="1">
      <alignment horizontal="left" vertical="center" wrapText="1"/>
      <protection hidden="1"/>
    </xf>
    <xf numFmtId="0" fontId="48" fillId="0" borderId="31" xfId="0" applyFont="1" applyBorder="1" applyAlignment="1" applyProtection="1">
      <alignment horizontal="left" vertical="center" wrapText="1"/>
      <protection hidden="1"/>
    </xf>
    <xf numFmtId="0" fontId="50" fillId="0" borderId="23" xfId="0" applyFont="1" applyBorder="1" applyAlignment="1" applyProtection="1">
      <alignment horizontal="left" vertical="top" wrapText="1"/>
      <protection hidden="1"/>
    </xf>
    <xf numFmtId="0" fontId="50" fillId="0" borderId="0" xfId="0" applyFont="1" applyAlignment="1" applyProtection="1">
      <alignment horizontal="left" vertical="top" wrapText="1"/>
      <protection hidden="1"/>
    </xf>
    <xf numFmtId="0" fontId="50" fillId="0" borderId="25" xfId="0" applyFont="1" applyBorder="1" applyAlignment="1" applyProtection="1">
      <alignment horizontal="left" vertical="top" wrapText="1"/>
      <protection hidden="1"/>
    </xf>
    <xf numFmtId="0" fontId="48" fillId="0" borderId="32" xfId="0" applyFont="1" applyBorder="1" applyAlignment="1" applyProtection="1">
      <alignment horizontal="left" vertical="top" wrapText="1"/>
      <protection hidden="1"/>
    </xf>
    <xf numFmtId="0" fontId="51" fillId="0" borderId="33" xfId="0" applyFont="1" applyBorder="1" applyAlignment="1" applyProtection="1">
      <alignment horizontal="left" vertical="top" wrapText="1"/>
      <protection hidden="1"/>
    </xf>
    <xf numFmtId="0" fontId="51" fillId="0" borderId="34" xfId="0" applyFont="1" applyBorder="1" applyAlignment="1" applyProtection="1">
      <alignment horizontal="left" vertical="top" wrapText="1"/>
      <protection hidden="1"/>
    </xf>
    <xf numFmtId="0" fontId="0" fillId="12" borderId="29" xfId="0" applyFill="1" applyBorder="1" applyAlignment="1" applyProtection="1">
      <alignment horizontal="center" vertical="center"/>
      <protection locked="0"/>
    </xf>
    <xf numFmtId="0" fontId="0" fillId="12" borderId="30" xfId="0" applyFill="1" applyBorder="1" applyAlignment="1" applyProtection="1">
      <alignment horizontal="center" vertical="center"/>
      <protection locked="0"/>
    </xf>
    <xf numFmtId="0" fontId="0" fillId="12" borderId="31" xfId="0" applyFill="1" applyBorder="1" applyAlignment="1" applyProtection="1">
      <alignment horizontal="center" vertical="center"/>
      <protection locked="0"/>
    </xf>
    <xf numFmtId="0" fontId="0" fillId="12" borderId="23" xfId="0" applyFill="1" applyBorder="1" applyAlignment="1" applyProtection="1">
      <alignment horizontal="center" vertical="center"/>
      <protection locked="0"/>
    </xf>
    <xf numFmtId="0" fontId="0" fillId="12" borderId="0" xfId="0" applyFill="1" applyAlignment="1" applyProtection="1">
      <alignment horizontal="center" vertical="center"/>
      <protection locked="0"/>
    </xf>
    <xf numFmtId="0" fontId="0" fillId="12" borderId="25" xfId="0" applyFill="1" applyBorder="1" applyAlignment="1" applyProtection="1">
      <alignment horizontal="center" vertical="center"/>
      <protection locked="0"/>
    </xf>
    <xf numFmtId="0" fontId="0" fillId="12" borderId="32" xfId="0" applyFill="1" applyBorder="1" applyAlignment="1" applyProtection="1">
      <alignment horizontal="center" vertical="center"/>
      <protection locked="0"/>
    </xf>
    <xf numFmtId="0" fontId="0" fillId="12" borderId="33" xfId="0" applyFill="1" applyBorder="1" applyAlignment="1" applyProtection="1">
      <alignment horizontal="center" vertical="center"/>
      <protection locked="0"/>
    </xf>
    <xf numFmtId="0" fontId="0" fillId="12" borderId="34" xfId="0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23" fillId="0" borderId="33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 textRotation="90"/>
      <protection hidden="1"/>
    </xf>
    <xf numFmtId="0" fontId="6" fillId="0" borderId="10" xfId="0" applyFont="1" applyBorder="1" applyAlignment="1" applyProtection="1">
      <alignment horizontal="center" vertical="center" textRotation="90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1" xfId="0" quotePrefix="1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8" fillId="0" borderId="9" xfId="0" applyFont="1" applyBorder="1" applyAlignment="1" applyProtection="1">
      <alignment horizontal="center" vertical="center" wrapText="1"/>
      <protection hidden="1"/>
    </xf>
    <xf numFmtId="0" fontId="8" fillId="0" borderId="11" xfId="0" applyFont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4" xfId="0" applyFont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3" xfId="0" applyFont="1" applyFill="1" applyBorder="1" applyAlignment="1" applyProtection="1">
      <alignment horizontal="center" vertical="center"/>
      <protection hidden="1"/>
    </xf>
    <xf numFmtId="0" fontId="6" fillId="5" borderId="17" xfId="0" applyFont="1" applyFill="1" applyBorder="1" applyAlignment="1" applyProtection="1">
      <alignment horizontal="center" vertical="center"/>
      <protection hidden="1"/>
    </xf>
    <xf numFmtId="0" fontId="6" fillId="0" borderId="16" xfId="0" quotePrefix="1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36" fillId="0" borderId="27" xfId="0" applyFont="1" applyBorder="1" applyAlignment="1" applyProtection="1">
      <alignment horizontal="center" vertical="center"/>
      <protection hidden="1"/>
    </xf>
    <xf numFmtId="0" fontId="17" fillId="0" borderId="16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35" fillId="0" borderId="16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10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center" vertical="center"/>
      <protection hidden="1"/>
    </xf>
    <xf numFmtId="0" fontId="5" fillId="5" borderId="17" xfId="0" applyFon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3" xfId="0" applyFont="1" applyBorder="1" applyAlignment="1" applyProtection="1">
      <alignment horizontal="left" vertical="center"/>
      <protection hidden="1"/>
    </xf>
    <xf numFmtId="0" fontId="10" fillId="0" borderId="4" xfId="0" applyFont="1" applyBorder="1" applyAlignment="1" applyProtection="1">
      <alignment horizontal="left" vertical="center"/>
      <protection hidden="1"/>
    </xf>
    <xf numFmtId="0" fontId="19" fillId="4" borderId="18" xfId="0" applyFont="1" applyFill="1" applyBorder="1" applyAlignment="1" applyProtection="1">
      <alignment horizontal="center" vertical="center"/>
      <protection hidden="1"/>
    </xf>
    <xf numFmtId="0" fontId="19" fillId="4" borderId="19" xfId="0" applyFont="1" applyFill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left" vertical="center"/>
      <protection hidden="1"/>
    </xf>
    <xf numFmtId="0" fontId="10" fillId="0" borderId="21" xfId="0" applyFont="1" applyBorder="1" applyAlignment="1" applyProtection="1">
      <alignment horizontal="left" vertical="center"/>
      <protection hidden="1"/>
    </xf>
    <xf numFmtId="0" fontId="10" fillId="0" borderId="22" xfId="0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6" fillId="0" borderId="3" xfId="0" applyFont="1" applyBorder="1" applyAlignment="1" applyProtection="1">
      <alignment horizontal="left" vertical="center"/>
      <protection hidden="1"/>
    </xf>
    <xf numFmtId="0" fontId="6" fillId="0" borderId="17" xfId="0" applyFont="1" applyBorder="1" applyAlignment="1" applyProtection="1">
      <alignment horizontal="left" vertical="center"/>
      <protection hidden="1"/>
    </xf>
    <xf numFmtId="0" fontId="17" fillId="0" borderId="1" xfId="0" applyFont="1" applyBorder="1" applyAlignment="1" applyProtection="1">
      <alignment horizontal="left" vertical="center"/>
      <protection hidden="1"/>
    </xf>
    <xf numFmtId="0" fontId="17" fillId="0" borderId="11" xfId="0" applyFont="1" applyBorder="1" applyAlignment="1" applyProtection="1">
      <alignment horizontal="left" vertical="center"/>
      <protection hidden="1"/>
    </xf>
    <xf numFmtId="0" fontId="24" fillId="18" borderId="29" xfId="0" applyFont="1" applyFill="1" applyBorder="1" applyAlignment="1" applyProtection="1">
      <alignment horizontal="center" vertical="center" wrapText="1"/>
      <protection hidden="1"/>
    </xf>
    <xf numFmtId="0" fontId="24" fillId="18" borderId="30" xfId="0" applyFont="1" applyFill="1" applyBorder="1" applyAlignment="1" applyProtection="1">
      <alignment horizontal="center" vertical="center" wrapText="1"/>
      <protection hidden="1"/>
    </xf>
    <xf numFmtId="0" fontId="24" fillId="18" borderId="31" xfId="0" applyFont="1" applyFill="1" applyBorder="1" applyAlignment="1" applyProtection="1">
      <alignment horizontal="center" vertical="center" wrapText="1"/>
      <protection hidden="1"/>
    </xf>
    <xf numFmtId="0" fontId="24" fillId="18" borderId="23" xfId="0" applyFont="1" applyFill="1" applyBorder="1" applyAlignment="1" applyProtection="1">
      <alignment horizontal="center" vertical="center" wrapText="1"/>
      <protection hidden="1"/>
    </xf>
    <xf numFmtId="0" fontId="24" fillId="18" borderId="0" xfId="0" applyFont="1" applyFill="1" applyAlignment="1" applyProtection="1">
      <alignment horizontal="center" vertical="center" wrapText="1"/>
      <protection hidden="1"/>
    </xf>
    <xf numFmtId="0" fontId="24" fillId="18" borderId="25" xfId="0" applyFont="1" applyFill="1" applyBorder="1" applyAlignment="1" applyProtection="1">
      <alignment horizontal="center" vertical="center" wrapText="1"/>
      <protection hidden="1"/>
    </xf>
    <xf numFmtId="0" fontId="24" fillId="18" borderId="32" xfId="0" applyFont="1" applyFill="1" applyBorder="1" applyAlignment="1" applyProtection="1">
      <alignment horizontal="center" vertical="center" wrapText="1"/>
      <protection hidden="1"/>
    </xf>
    <xf numFmtId="0" fontId="24" fillId="18" borderId="33" xfId="0" applyFont="1" applyFill="1" applyBorder="1" applyAlignment="1" applyProtection="1">
      <alignment horizontal="center" vertical="center" wrapText="1"/>
      <protection hidden="1"/>
    </xf>
    <xf numFmtId="0" fontId="24" fillId="18" borderId="34" xfId="0" applyFont="1" applyFill="1" applyBorder="1" applyAlignment="1" applyProtection="1">
      <alignment horizontal="center" vertical="center" wrapText="1"/>
      <protection hidden="1"/>
    </xf>
    <xf numFmtId="0" fontId="0" fillId="17" borderId="29" xfId="0" applyFill="1" applyBorder="1" applyAlignment="1" applyProtection="1">
      <alignment horizontal="center"/>
      <protection locked="0" hidden="1"/>
    </xf>
    <xf numFmtId="0" fontId="0" fillId="17" borderId="30" xfId="0" applyFill="1" applyBorder="1" applyAlignment="1" applyProtection="1">
      <alignment horizontal="center"/>
      <protection locked="0" hidden="1"/>
    </xf>
    <xf numFmtId="0" fontId="0" fillId="17" borderId="31" xfId="0" applyFill="1" applyBorder="1" applyAlignment="1" applyProtection="1">
      <alignment horizontal="center"/>
      <protection locked="0" hidden="1"/>
    </xf>
    <xf numFmtId="0" fontId="0" fillId="17" borderId="32" xfId="0" applyFill="1" applyBorder="1" applyAlignment="1" applyProtection="1">
      <alignment horizontal="center"/>
      <protection locked="0" hidden="1"/>
    </xf>
    <xf numFmtId="0" fontId="0" fillId="17" borderId="33" xfId="0" applyFill="1" applyBorder="1" applyAlignment="1" applyProtection="1">
      <alignment horizontal="center"/>
      <protection locked="0" hidden="1"/>
    </xf>
    <xf numFmtId="0" fontId="0" fillId="17" borderId="34" xfId="0" applyFill="1" applyBorder="1" applyAlignment="1" applyProtection="1">
      <alignment horizontal="center"/>
      <protection locked="0" hidden="1"/>
    </xf>
    <xf numFmtId="0" fontId="23" fillId="0" borderId="16" xfId="0" applyFont="1" applyBorder="1" applyAlignment="1" applyProtection="1">
      <alignment horizontal="center" vertical="center"/>
      <protection hidden="1"/>
    </xf>
    <xf numFmtId="0" fontId="23" fillId="0" borderId="3" xfId="0" applyFont="1" applyBorder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center" vertical="center"/>
      <protection hidden="1"/>
    </xf>
    <xf numFmtId="0" fontId="45" fillId="18" borderId="30" xfId="0" applyFont="1" applyFill="1" applyBorder="1" applyAlignment="1" applyProtection="1">
      <alignment horizontal="center" vertical="center" wrapText="1"/>
      <protection hidden="1"/>
    </xf>
    <xf numFmtId="0" fontId="45" fillId="18" borderId="31" xfId="0" applyFont="1" applyFill="1" applyBorder="1" applyAlignment="1" applyProtection="1">
      <alignment horizontal="center" vertical="center" wrapText="1"/>
      <protection hidden="1"/>
    </xf>
    <xf numFmtId="0" fontId="45" fillId="18" borderId="0" xfId="0" applyFont="1" applyFill="1" applyAlignment="1" applyProtection="1">
      <alignment horizontal="center" vertical="center" wrapText="1"/>
      <protection hidden="1"/>
    </xf>
    <xf numFmtId="0" fontId="45" fillId="18" borderId="25" xfId="0" applyFont="1" applyFill="1" applyBorder="1" applyAlignment="1" applyProtection="1">
      <alignment horizontal="center" vertical="center" wrapText="1"/>
      <protection hidden="1"/>
    </xf>
    <xf numFmtId="0" fontId="45" fillId="18" borderId="33" xfId="0" applyFont="1" applyFill="1" applyBorder="1" applyAlignment="1" applyProtection="1">
      <alignment horizontal="center" vertical="center" wrapText="1"/>
      <protection hidden="1"/>
    </xf>
    <xf numFmtId="0" fontId="45" fillId="18" borderId="34" xfId="0" applyFont="1" applyFill="1" applyBorder="1" applyAlignment="1" applyProtection="1">
      <alignment horizontal="center" vertical="center" wrapText="1"/>
      <protection hidden="1"/>
    </xf>
    <xf numFmtId="0" fontId="0" fillId="18" borderId="29" xfId="0" applyFill="1" applyBorder="1" applyAlignment="1" applyProtection="1">
      <alignment horizontal="center"/>
      <protection hidden="1"/>
    </xf>
    <xf numFmtId="0" fontId="0" fillId="18" borderId="23" xfId="0" applyFill="1" applyBorder="1" applyAlignment="1" applyProtection="1">
      <alignment horizontal="center"/>
      <protection hidden="1"/>
    </xf>
    <xf numFmtId="0" fontId="0" fillId="18" borderId="32" xfId="0" applyFill="1" applyBorder="1" applyAlignment="1" applyProtection="1">
      <alignment horizontal="center"/>
      <protection hidden="1"/>
    </xf>
    <xf numFmtId="0" fontId="74" fillId="4" borderId="52" xfId="0" applyFont="1" applyFill="1" applyBorder="1" applyAlignment="1" applyProtection="1">
      <alignment horizontal="center" vertical="center"/>
      <protection hidden="1"/>
    </xf>
    <xf numFmtId="0" fontId="74" fillId="4" borderId="53" xfId="0" applyFont="1" applyFill="1" applyBorder="1" applyAlignment="1" applyProtection="1">
      <alignment horizontal="center" vertical="center"/>
      <protection hidden="1"/>
    </xf>
    <xf numFmtId="0" fontId="74" fillId="4" borderId="54" xfId="0" applyFont="1" applyFill="1" applyBorder="1" applyAlignment="1" applyProtection="1">
      <alignment horizontal="center" vertical="center"/>
      <protection hidden="1"/>
    </xf>
    <xf numFmtId="0" fontId="77" fillId="3" borderId="29" xfId="0" applyFont="1" applyFill="1" applyBorder="1" applyAlignment="1" applyProtection="1">
      <alignment horizontal="center" vertical="center" wrapText="1"/>
      <protection hidden="1"/>
    </xf>
    <xf numFmtId="0" fontId="77" fillId="3" borderId="30" xfId="0" applyFont="1" applyFill="1" applyBorder="1" applyAlignment="1" applyProtection="1">
      <alignment horizontal="center" vertical="center" wrapText="1"/>
      <protection hidden="1"/>
    </xf>
    <xf numFmtId="0" fontId="77" fillId="3" borderId="31" xfId="0" applyFont="1" applyFill="1" applyBorder="1" applyAlignment="1" applyProtection="1">
      <alignment horizontal="center" vertical="center" wrapText="1"/>
      <protection hidden="1"/>
    </xf>
    <xf numFmtId="0" fontId="77" fillId="3" borderId="32" xfId="0" applyFont="1" applyFill="1" applyBorder="1" applyAlignment="1" applyProtection="1">
      <alignment horizontal="center" vertical="center" wrapText="1"/>
      <protection hidden="1"/>
    </xf>
    <xf numFmtId="0" fontId="77" fillId="3" borderId="33" xfId="0" applyFont="1" applyFill="1" applyBorder="1" applyAlignment="1" applyProtection="1">
      <alignment horizontal="center" vertical="center" wrapText="1"/>
      <protection hidden="1"/>
    </xf>
    <xf numFmtId="0" fontId="77" fillId="3" borderId="34" xfId="0" applyFont="1" applyFill="1" applyBorder="1" applyAlignment="1" applyProtection="1">
      <alignment horizontal="center" vertical="center" wrapText="1"/>
      <protection hidden="1"/>
    </xf>
    <xf numFmtId="0" fontId="78" fillId="0" borderId="58" xfId="0" applyFont="1" applyBorder="1" applyAlignment="1" applyProtection="1">
      <alignment horizontal="center" vertical="center"/>
      <protection hidden="1"/>
    </xf>
    <xf numFmtId="0" fontId="78" fillId="0" borderId="59" xfId="0" applyFont="1" applyBorder="1" applyAlignment="1" applyProtection="1">
      <alignment horizontal="center" vertical="center"/>
      <protection hidden="1"/>
    </xf>
    <xf numFmtId="0" fontId="78" fillId="0" borderId="60" xfId="0" applyFont="1" applyBorder="1" applyAlignment="1" applyProtection="1">
      <alignment horizontal="center" vertical="center"/>
      <protection hidden="1"/>
    </xf>
    <xf numFmtId="0" fontId="76" fillId="0" borderId="61" xfId="0" applyFont="1" applyBorder="1" applyAlignment="1" applyProtection="1">
      <alignment horizontal="center" vertical="center" wrapText="1"/>
      <protection hidden="1"/>
    </xf>
    <xf numFmtId="0" fontId="76" fillId="0" borderId="59" xfId="0" applyFont="1" applyBorder="1" applyAlignment="1" applyProtection="1">
      <alignment horizontal="center" vertical="center" wrapText="1"/>
      <protection hidden="1"/>
    </xf>
    <xf numFmtId="0" fontId="76" fillId="0" borderId="62" xfId="0" applyFont="1" applyBorder="1" applyAlignment="1" applyProtection="1">
      <alignment horizontal="center" vertical="center" wrapText="1"/>
      <protection hidden="1"/>
    </xf>
    <xf numFmtId="0" fontId="79" fillId="0" borderId="61" xfId="0" applyFont="1" applyBorder="1" applyAlignment="1" applyProtection="1">
      <alignment horizontal="left" vertical="center" wrapText="1"/>
      <protection locked="0"/>
    </xf>
    <xf numFmtId="0" fontId="79" fillId="0" borderId="59" xfId="0" applyFont="1" applyBorder="1" applyAlignment="1" applyProtection="1">
      <alignment horizontal="left" vertical="center" wrapText="1"/>
      <protection locked="0"/>
    </xf>
    <xf numFmtId="0" fontId="79" fillId="0" borderId="62" xfId="0" applyFont="1" applyBorder="1" applyAlignment="1" applyProtection="1">
      <alignment horizontal="left" vertical="center" wrapText="1"/>
      <protection locked="0"/>
    </xf>
    <xf numFmtId="49" fontId="76" fillId="0" borderId="61" xfId="0" applyNumberFormat="1" applyFont="1" applyBorder="1" applyAlignment="1" applyProtection="1">
      <alignment horizontal="center" vertical="center"/>
      <protection locked="0"/>
    </xf>
    <xf numFmtId="49" fontId="76" fillId="0" borderId="59" xfId="0" applyNumberFormat="1" applyFont="1" applyBorder="1" applyAlignment="1" applyProtection="1">
      <alignment horizontal="center" vertical="center"/>
      <protection locked="0"/>
    </xf>
    <xf numFmtId="49" fontId="76" fillId="0" borderId="60" xfId="0" applyNumberFormat="1" applyFont="1" applyBorder="1" applyAlignment="1" applyProtection="1">
      <alignment horizontal="center" vertical="center"/>
      <protection locked="0"/>
    </xf>
    <xf numFmtId="0" fontId="78" fillId="0" borderId="61" xfId="0" applyFont="1" applyBorder="1" applyAlignment="1" applyProtection="1">
      <alignment horizontal="center" vertical="center"/>
      <protection hidden="1"/>
    </xf>
    <xf numFmtId="0" fontId="76" fillId="0" borderId="61" xfId="0" applyFont="1" applyBorder="1" applyAlignment="1" applyProtection="1">
      <alignment horizontal="center" vertical="center"/>
      <protection locked="0"/>
    </xf>
    <xf numFmtId="0" fontId="76" fillId="0" borderId="59" xfId="0" applyFont="1" applyBorder="1" applyAlignment="1" applyProtection="1">
      <alignment horizontal="center" vertical="center"/>
      <protection locked="0"/>
    </xf>
    <xf numFmtId="0" fontId="76" fillId="0" borderId="62" xfId="0" applyFont="1" applyBorder="1" applyAlignment="1" applyProtection="1">
      <alignment horizontal="center" vertical="center"/>
      <protection locked="0"/>
    </xf>
    <xf numFmtId="0" fontId="77" fillId="3" borderId="23" xfId="0" applyFont="1" applyFill="1" applyBorder="1" applyAlignment="1" applyProtection="1">
      <alignment horizontal="center" vertical="center" wrapText="1"/>
      <protection hidden="1"/>
    </xf>
    <xf numFmtId="0" fontId="77" fillId="3" borderId="0" xfId="0" applyFont="1" applyFill="1" applyAlignment="1" applyProtection="1">
      <alignment horizontal="center" vertical="center" wrapText="1"/>
      <protection hidden="1"/>
    </xf>
    <xf numFmtId="0" fontId="77" fillId="3" borderId="25" xfId="0" applyFont="1" applyFill="1" applyBorder="1" applyAlignment="1" applyProtection="1">
      <alignment horizontal="center" vertical="center" wrapText="1"/>
      <protection hidden="1"/>
    </xf>
    <xf numFmtId="0" fontId="82" fillId="28" borderId="58" xfId="0" applyFont="1" applyFill="1" applyBorder="1" applyAlignment="1" applyProtection="1">
      <alignment horizontal="center" vertical="center"/>
      <protection hidden="1"/>
    </xf>
    <xf numFmtId="0" fontId="82" fillId="28" borderId="59" xfId="0" applyFont="1" applyFill="1" applyBorder="1" applyAlignment="1" applyProtection="1">
      <alignment horizontal="center" vertical="center"/>
      <protection hidden="1"/>
    </xf>
    <xf numFmtId="0" fontId="82" fillId="28" borderId="70" xfId="0" applyFont="1" applyFill="1" applyBorder="1" applyAlignment="1" applyProtection="1">
      <alignment horizontal="center" vertical="center"/>
      <protection hidden="1"/>
    </xf>
    <xf numFmtId="0" fontId="83" fillId="28" borderId="73" xfId="0" applyFont="1" applyFill="1" applyBorder="1" applyAlignment="1" applyProtection="1">
      <alignment horizontal="center" vertical="center"/>
      <protection hidden="1"/>
    </xf>
    <xf numFmtId="0" fontId="83" fillId="28" borderId="59" xfId="0" applyFont="1" applyFill="1" applyBorder="1" applyAlignment="1" applyProtection="1">
      <alignment horizontal="center" vertical="center"/>
      <protection hidden="1"/>
    </xf>
    <xf numFmtId="0" fontId="83" fillId="28" borderId="62" xfId="0" applyFont="1" applyFill="1" applyBorder="1" applyAlignment="1" applyProtection="1">
      <alignment horizontal="center" vertical="center"/>
      <protection hidden="1"/>
    </xf>
    <xf numFmtId="0" fontId="76" fillId="0" borderId="65" xfId="0" applyFont="1" applyBorder="1" applyAlignment="1" applyProtection="1">
      <alignment horizontal="left" vertical="center"/>
      <protection hidden="1"/>
    </xf>
    <xf numFmtId="0" fontId="76" fillId="0" borderId="66" xfId="0" applyFont="1" applyBorder="1" applyAlignment="1" applyProtection="1">
      <alignment horizontal="left" vertical="center"/>
      <protection hidden="1"/>
    </xf>
    <xf numFmtId="0" fontId="76" fillId="0" borderId="67" xfId="0" applyFont="1" applyBorder="1" applyAlignment="1" applyProtection="1">
      <alignment horizontal="left" vertical="center"/>
      <protection hidden="1"/>
    </xf>
    <xf numFmtId="0" fontId="76" fillId="0" borderId="72" xfId="0" applyFont="1" applyBorder="1" applyAlignment="1" applyProtection="1">
      <alignment horizontal="center" vertical="center"/>
      <protection locked="0"/>
    </xf>
    <xf numFmtId="0" fontId="76" fillId="0" borderId="66" xfId="0" applyFont="1" applyBorder="1" applyAlignment="1" applyProtection="1">
      <alignment horizontal="center" vertical="center"/>
      <protection locked="0"/>
    </xf>
    <xf numFmtId="0" fontId="76" fillId="0" borderId="68" xfId="0" applyFont="1" applyBorder="1" applyAlignment="1" applyProtection="1">
      <alignment horizontal="center" vertical="center"/>
      <protection locked="0"/>
    </xf>
    <xf numFmtId="0" fontId="76" fillId="0" borderId="77" xfId="0" applyFont="1" applyBorder="1" applyAlignment="1" applyProtection="1">
      <alignment horizontal="left" vertical="center"/>
      <protection hidden="1"/>
    </xf>
    <xf numFmtId="0" fontId="76" fillId="0" borderId="75" xfId="0" applyFont="1" applyBorder="1" applyAlignment="1" applyProtection="1">
      <alignment horizontal="left" vertical="center"/>
      <protection hidden="1"/>
    </xf>
    <xf numFmtId="0" fontId="76" fillId="0" borderId="78" xfId="0" applyFont="1" applyBorder="1" applyAlignment="1" applyProtection="1">
      <alignment horizontal="left" vertical="center"/>
      <protection hidden="1"/>
    </xf>
    <xf numFmtId="0" fontId="76" fillId="0" borderId="74" xfId="0" applyFont="1" applyBorder="1" applyAlignment="1" applyProtection="1">
      <alignment horizontal="center" vertical="center"/>
      <protection locked="0"/>
    </xf>
    <xf numFmtId="0" fontId="76" fillId="0" borderId="75" xfId="0" applyFont="1" applyBorder="1" applyAlignment="1" applyProtection="1">
      <alignment horizontal="center" vertical="center"/>
      <protection locked="0"/>
    </xf>
    <xf numFmtId="0" fontId="76" fillId="0" borderId="76" xfId="0" applyFont="1" applyBorder="1" applyAlignment="1" applyProtection="1">
      <alignment horizontal="center" vertical="center"/>
      <protection locked="0"/>
    </xf>
    <xf numFmtId="0" fontId="76" fillId="0" borderId="84" xfId="0" applyFont="1" applyBorder="1" applyAlignment="1" applyProtection="1">
      <alignment horizontal="left" vertical="center"/>
      <protection hidden="1"/>
    </xf>
    <xf numFmtId="0" fontId="76" fillId="0" borderId="57" xfId="0" applyFont="1" applyBorder="1" applyAlignment="1" applyProtection="1">
      <alignment horizontal="left" vertical="center"/>
      <protection hidden="1"/>
    </xf>
    <xf numFmtId="0" fontId="76" fillId="0" borderId="57" xfId="0" applyFont="1" applyBorder="1" applyAlignment="1" applyProtection="1">
      <alignment horizontal="center" vertical="center"/>
      <protection hidden="1"/>
    </xf>
    <xf numFmtId="0" fontId="76" fillId="0" borderId="82" xfId="0" applyFont="1" applyBorder="1" applyAlignment="1" applyProtection="1">
      <alignment horizontal="left" vertical="center" wrapText="1"/>
      <protection hidden="1"/>
    </xf>
    <xf numFmtId="0" fontId="76" fillId="0" borderId="80" xfId="0" applyFont="1" applyBorder="1" applyAlignment="1" applyProtection="1">
      <alignment horizontal="left" vertical="center" wrapText="1"/>
      <protection hidden="1"/>
    </xf>
    <xf numFmtId="0" fontId="76" fillId="0" borderId="83" xfId="0" applyFont="1" applyBorder="1" applyAlignment="1" applyProtection="1">
      <alignment horizontal="left" vertical="center" wrapText="1"/>
      <protection hidden="1"/>
    </xf>
    <xf numFmtId="1" fontId="76" fillId="0" borderId="79" xfId="0" applyNumberFormat="1" applyFont="1" applyBorder="1" applyAlignment="1" applyProtection="1">
      <alignment horizontal="center" vertical="center"/>
      <protection hidden="1"/>
    </xf>
    <xf numFmtId="0" fontId="76" fillId="0" borderId="80" xfId="0" applyFont="1" applyBorder="1" applyAlignment="1" applyProtection="1">
      <alignment horizontal="center" vertical="center"/>
      <protection hidden="1"/>
    </xf>
    <xf numFmtId="0" fontId="76" fillId="0" borderId="81" xfId="0" applyFont="1" applyBorder="1" applyAlignment="1" applyProtection="1">
      <alignment horizontal="center" vertical="center"/>
      <protection hidden="1"/>
    </xf>
    <xf numFmtId="0" fontId="0" fillId="9" borderId="3" xfId="0" applyFill="1" applyBorder="1" applyAlignment="1" applyProtection="1">
      <alignment horizontal="center" vertical="center"/>
      <protection hidden="1"/>
    </xf>
    <xf numFmtId="0" fontId="92" fillId="10" borderId="29" xfId="0" applyFont="1" applyFill="1" applyBorder="1" applyAlignment="1" applyProtection="1">
      <alignment horizontal="center" vertical="center" wrapText="1"/>
      <protection hidden="1"/>
    </xf>
    <xf numFmtId="0" fontId="92" fillId="10" borderId="30" xfId="0" applyFont="1" applyFill="1" applyBorder="1" applyAlignment="1" applyProtection="1">
      <alignment horizontal="center" vertical="center" wrapText="1"/>
      <protection hidden="1"/>
    </xf>
    <xf numFmtId="0" fontId="92" fillId="10" borderId="31" xfId="0" applyFont="1" applyFill="1" applyBorder="1" applyAlignment="1" applyProtection="1">
      <alignment horizontal="center" vertical="center" wrapText="1"/>
      <protection hidden="1"/>
    </xf>
    <xf numFmtId="0" fontId="92" fillId="10" borderId="23" xfId="0" applyFont="1" applyFill="1" applyBorder="1" applyAlignment="1" applyProtection="1">
      <alignment horizontal="center" vertical="center" wrapText="1"/>
      <protection hidden="1"/>
    </xf>
    <xf numFmtId="0" fontId="92" fillId="10" borderId="0" xfId="0" applyFont="1" applyFill="1" applyAlignment="1" applyProtection="1">
      <alignment horizontal="center" vertical="center" wrapText="1"/>
      <protection hidden="1"/>
    </xf>
    <xf numFmtId="0" fontId="92" fillId="10" borderId="25" xfId="0" applyFont="1" applyFill="1" applyBorder="1" applyAlignment="1" applyProtection="1">
      <alignment horizontal="center" vertical="center" wrapText="1"/>
      <protection hidden="1"/>
    </xf>
    <xf numFmtId="0" fontId="92" fillId="10" borderId="32" xfId="0" applyFont="1" applyFill="1" applyBorder="1" applyAlignment="1" applyProtection="1">
      <alignment horizontal="center" vertical="center" wrapText="1"/>
      <protection hidden="1"/>
    </xf>
    <xf numFmtId="0" fontId="92" fillId="10" borderId="33" xfId="0" applyFont="1" applyFill="1" applyBorder="1" applyAlignment="1" applyProtection="1">
      <alignment horizontal="center" vertical="center" wrapText="1"/>
      <protection hidden="1"/>
    </xf>
    <xf numFmtId="0" fontId="92" fillId="10" borderId="34" xfId="0" applyFont="1" applyFill="1" applyBorder="1" applyAlignment="1" applyProtection="1">
      <alignment horizontal="center" vertical="center" wrapText="1"/>
      <protection hidden="1"/>
    </xf>
    <xf numFmtId="0" fontId="76" fillId="0" borderId="10" xfId="0" applyFont="1" applyBorder="1" applyAlignment="1" applyProtection="1">
      <alignment horizontal="center" vertical="center" wrapText="1"/>
      <protection hidden="1"/>
    </xf>
    <xf numFmtId="0" fontId="76" fillId="0" borderId="1" xfId="0" applyFont="1" applyBorder="1" applyAlignment="1" applyProtection="1">
      <alignment horizontal="center" vertical="center" wrapText="1"/>
      <protection hidden="1"/>
    </xf>
    <xf numFmtId="0" fontId="79" fillId="0" borderId="1" xfId="0" applyFont="1" applyBorder="1" applyAlignment="1" applyProtection="1">
      <alignment horizontal="center" vertical="center" wrapText="1"/>
      <protection hidden="1"/>
    </xf>
    <xf numFmtId="0" fontId="79" fillId="0" borderId="11" xfId="0" applyFont="1" applyBorder="1" applyAlignment="1" applyProtection="1">
      <alignment horizontal="center" vertical="center" wrapText="1"/>
      <protection hidden="1"/>
    </xf>
    <xf numFmtId="0" fontId="87" fillId="0" borderId="1" xfId="0" applyFont="1" applyBorder="1" applyAlignment="1" applyProtection="1">
      <alignment horizontal="center" vertical="center" wrapText="1"/>
      <protection hidden="1"/>
    </xf>
    <xf numFmtId="0" fontId="79" fillId="0" borderId="10" xfId="0" applyFont="1" applyBorder="1" applyAlignment="1" applyProtection="1">
      <alignment horizontal="left" vertical="center" wrapText="1"/>
      <protection hidden="1"/>
    </xf>
    <xf numFmtId="0" fontId="79" fillId="0" borderId="1" xfId="0" applyFont="1" applyBorder="1" applyAlignment="1" applyProtection="1">
      <alignment horizontal="left" vertical="center" wrapText="1"/>
      <protection hidden="1"/>
    </xf>
    <xf numFmtId="0" fontId="79" fillId="0" borderId="1" xfId="0" applyFont="1" applyBorder="1" applyAlignment="1" applyProtection="1">
      <alignment horizontal="center" vertical="center"/>
      <protection hidden="1"/>
    </xf>
    <xf numFmtId="0" fontId="79" fillId="0" borderId="11" xfId="0" applyFont="1" applyBorder="1" applyAlignment="1" applyProtection="1">
      <alignment horizontal="center" vertical="center"/>
      <protection hidden="1"/>
    </xf>
    <xf numFmtId="0" fontId="76" fillId="0" borderId="23" xfId="0" applyFont="1" applyBorder="1" applyAlignment="1" applyProtection="1">
      <alignment horizontal="center" vertical="center" wrapText="1"/>
      <protection hidden="1"/>
    </xf>
    <xf numFmtId="0" fontId="76" fillId="0" borderId="0" xfId="0" applyFont="1" applyAlignment="1" applyProtection="1">
      <alignment horizontal="center" vertical="center" wrapText="1"/>
      <protection hidden="1"/>
    </xf>
    <xf numFmtId="0" fontId="76" fillId="0" borderId="25" xfId="0" applyFont="1" applyBorder="1" applyAlignment="1" applyProtection="1">
      <alignment horizontal="center" vertical="center" wrapText="1"/>
      <protection hidden="1"/>
    </xf>
    <xf numFmtId="0" fontId="88" fillId="0" borderId="16" xfId="0" applyFont="1" applyBorder="1" applyAlignment="1" applyProtection="1">
      <alignment horizontal="left" vertical="center" wrapText="1"/>
      <protection hidden="1"/>
    </xf>
    <xf numFmtId="0" fontId="88" fillId="0" borderId="3" xfId="0" applyFont="1" applyBorder="1" applyAlignment="1" applyProtection="1">
      <alignment horizontal="left" vertical="center" wrapText="1"/>
      <protection hidden="1"/>
    </xf>
    <xf numFmtId="0" fontId="88" fillId="0" borderId="17" xfId="0" applyFont="1" applyBorder="1" applyAlignment="1" applyProtection="1">
      <alignment horizontal="left" vertical="center" wrapText="1"/>
      <protection hidden="1"/>
    </xf>
    <xf numFmtId="0" fontId="76" fillId="0" borderId="1" xfId="0" applyFont="1" applyBorder="1" applyAlignment="1" applyProtection="1">
      <alignment horizontal="center" vertical="center"/>
      <protection hidden="1"/>
    </xf>
    <xf numFmtId="0" fontId="76" fillId="0" borderId="11" xfId="0" applyFont="1" applyBorder="1" applyAlignment="1" applyProtection="1">
      <alignment horizontal="center" vertical="center"/>
      <protection hidden="1"/>
    </xf>
    <xf numFmtId="0" fontId="85" fillId="0" borderId="29" xfId="0" applyFont="1" applyBorder="1" applyAlignment="1" applyProtection="1">
      <alignment horizontal="center" vertical="center"/>
      <protection hidden="1"/>
    </xf>
    <xf numFmtId="0" fontId="85" fillId="0" borderId="30" xfId="0" applyFont="1" applyBorder="1" applyAlignment="1" applyProtection="1">
      <alignment horizontal="center" vertical="center"/>
      <protection hidden="1"/>
    </xf>
    <xf numFmtId="0" fontId="85" fillId="0" borderId="31" xfId="0" applyFont="1" applyBorder="1" applyAlignment="1" applyProtection="1">
      <alignment horizontal="center" vertical="center"/>
      <protection hidden="1"/>
    </xf>
    <xf numFmtId="0" fontId="79" fillId="0" borderId="23" xfId="0" applyFont="1" applyBorder="1" applyAlignment="1" applyProtection="1">
      <alignment horizontal="left" vertical="center" wrapText="1"/>
      <protection hidden="1"/>
    </xf>
    <xf numFmtId="0" fontId="79" fillId="0" borderId="0" xfId="0" applyFont="1" applyAlignment="1" applyProtection="1">
      <alignment horizontal="left" vertical="center" wrapText="1"/>
      <protection hidden="1"/>
    </xf>
    <xf numFmtId="0" fontId="79" fillId="0" borderId="25" xfId="0" applyFont="1" applyBorder="1" applyAlignment="1" applyProtection="1">
      <alignment horizontal="left" vertical="center" wrapText="1"/>
      <protection hidden="1"/>
    </xf>
    <xf numFmtId="0" fontId="87" fillId="0" borderId="11" xfId="0" applyFont="1" applyBorder="1" applyAlignment="1" applyProtection="1">
      <alignment horizontal="center" vertical="center" wrapText="1"/>
      <protection hidden="1"/>
    </xf>
    <xf numFmtId="0" fontId="89" fillId="0" borderId="23" xfId="0" applyFont="1" applyBorder="1" applyAlignment="1" applyProtection="1">
      <alignment horizontal="center"/>
      <protection hidden="1"/>
    </xf>
    <xf numFmtId="0" fontId="89" fillId="0" borderId="0" xfId="0" applyFont="1" applyAlignment="1" applyProtection="1">
      <alignment horizontal="center"/>
      <protection hidden="1"/>
    </xf>
    <xf numFmtId="0" fontId="89" fillId="0" borderId="25" xfId="0" applyFont="1" applyBorder="1" applyAlignment="1" applyProtection="1">
      <alignment horizontal="center"/>
      <protection hidden="1"/>
    </xf>
    <xf numFmtId="0" fontId="87" fillId="0" borderId="23" xfId="0" applyFont="1" applyBorder="1" applyAlignment="1" applyProtection="1">
      <alignment horizontal="left" vertical="center"/>
      <protection hidden="1"/>
    </xf>
    <xf numFmtId="0" fontId="87" fillId="0" borderId="0" xfId="0" applyFont="1" applyAlignment="1" applyProtection="1">
      <alignment horizontal="left" vertical="center"/>
      <protection hidden="1"/>
    </xf>
    <xf numFmtId="0" fontId="87" fillId="0" borderId="25" xfId="0" applyFont="1" applyBorder="1" applyAlignment="1" applyProtection="1">
      <alignment horizontal="left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0" fontId="87" fillId="0" borderId="25" xfId="0" applyFont="1" applyBorder="1" applyAlignment="1" applyProtection="1">
      <alignment horizontal="center" vertical="center"/>
      <protection hidden="1"/>
    </xf>
    <xf numFmtId="0" fontId="89" fillId="0" borderId="10" xfId="0" applyFont="1" applyBorder="1" applyAlignment="1" applyProtection="1">
      <alignment horizontal="center"/>
      <protection hidden="1"/>
    </xf>
    <xf numFmtId="0" fontId="89" fillId="0" borderId="1" xfId="0" applyFont="1" applyBorder="1" applyAlignment="1" applyProtection="1">
      <alignment horizontal="center"/>
      <protection hidden="1"/>
    </xf>
    <xf numFmtId="0" fontId="89" fillId="0" borderId="11" xfId="0" applyFont="1" applyBorder="1" applyAlignment="1" applyProtection="1">
      <alignment horizontal="center"/>
      <protection hidden="1"/>
    </xf>
    <xf numFmtId="0" fontId="76" fillId="0" borderId="1" xfId="0" applyFont="1" applyBorder="1" applyAlignment="1" applyProtection="1">
      <alignment horizontal="center"/>
      <protection hidden="1"/>
    </xf>
    <xf numFmtId="0" fontId="76" fillId="0" borderId="11" xfId="0" applyFont="1" applyBorder="1" applyAlignment="1" applyProtection="1">
      <alignment horizontal="center"/>
      <protection hidden="1"/>
    </xf>
    <xf numFmtId="1" fontId="76" fillId="0" borderId="1" xfId="0" applyNumberFormat="1" applyFont="1" applyBorder="1" applyAlignment="1" applyProtection="1">
      <alignment horizontal="center"/>
      <protection hidden="1"/>
    </xf>
    <xf numFmtId="0" fontId="91" fillId="0" borderId="1" xfId="0" applyFont="1" applyBorder="1" applyAlignment="1" applyProtection="1">
      <alignment horizontal="center" vertical="center"/>
      <protection hidden="1"/>
    </xf>
    <xf numFmtId="0" fontId="91" fillId="0" borderId="11" xfId="0" applyFont="1" applyBorder="1" applyAlignment="1" applyProtection="1">
      <alignment horizontal="center" vertical="center"/>
      <protection hidden="1"/>
    </xf>
    <xf numFmtId="0" fontId="90" fillId="0" borderId="10" xfId="0" applyFont="1" applyBorder="1" applyAlignment="1" applyProtection="1">
      <alignment horizontal="center" vertical="center" wrapText="1"/>
      <protection hidden="1"/>
    </xf>
    <xf numFmtId="0" fontId="90" fillId="0" borderId="1" xfId="0" applyFont="1" applyBorder="1" applyAlignment="1" applyProtection="1">
      <alignment horizontal="center" vertical="center" wrapText="1"/>
      <protection hidden="1"/>
    </xf>
    <xf numFmtId="0" fontId="90" fillId="0" borderId="11" xfId="0" applyFont="1" applyBorder="1" applyAlignment="1" applyProtection="1">
      <alignment horizontal="center" vertical="center" wrapText="1"/>
      <protection hidden="1"/>
    </xf>
    <xf numFmtId="0" fontId="76" fillId="0" borderId="16" xfId="0" applyFont="1" applyBorder="1" applyAlignment="1" applyProtection="1">
      <alignment horizontal="center" vertical="center" wrapText="1"/>
      <protection hidden="1"/>
    </xf>
    <xf numFmtId="0" fontId="76" fillId="0" borderId="4" xfId="0" applyFont="1" applyBorder="1" applyAlignment="1" applyProtection="1">
      <alignment horizontal="center" vertical="center" wrapText="1"/>
      <protection hidden="1"/>
    </xf>
    <xf numFmtId="0" fontId="76" fillId="0" borderId="2" xfId="0" applyFont="1" applyBorder="1" applyAlignment="1" applyProtection="1">
      <alignment horizontal="center" vertical="center" wrapText="1"/>
      <protection hidden="1"/>
    </xf>
    <xf numFmtId="0" fontId="76" fillId="0" borderId="17" xfId="0" applyFont="1" applyBorder="1" applyAlignment="1" applyProtection="1">
      <alignment horizontal="center" vertical="center" wrapText="1"/>
      <protection hidden="1"/>
    </xf>
    <xf numFmtId="0" fontId="79" fillId="0" borderId="10" xfId="0" applyFont="1" applyBorder="1" applyAlignment="1" applyProtection="1">
      <alignment horizontal="center" vertical="center" wrapText="1"/>
      <protection hidden="1"/>
    </xf>
    <xf numFmtId="14" fontId="90" fillId="10" borderId="2" xfId="0" applyNumberFormat="1" applyFont="1" applyFill="1" applyBorder="1" applyAlignment="1" applyProtection="1">
      <alignment horizontal="center" vertical="center"/>
      <protection locked="0"/>
    </xf>
    <xf numFmtId="14" fontId="90" fillId="10" borderId="4" xfId="0" applyNumberFormat="1" applyFont="1" applyFill="1" applyBorder="1" applyAlignment="1" applyProtection="1">
      <alignment horizontal="center" vertical="center"/>
      <protection locked="0"/>
    </xf>
    <xf numFmtId="0" fontId="93" fillId="10" borderId="29" xfId="2" applyFill="1" applyBorder="1" applyAlignment="1" applyProtection="1">
      <alignment horizontal="center" vertical="center"/>
      <protection hidden="1"/>
    </xf>
    <xf numFmtId="0" fontId="75" fillId="10" borderId="30" xfId="0" applyFont="1" applyFill="1" applyBorder="1" applyAlignment="1" applyProtection="1">
      <alignment horizontal="center" vertical="center"/>
      <protection hidden="1"/>
    </xf>
    <xf numFmtId="0" fontId="75" fillId="10" borderId="31" xfId="0" applyFont="1" applyFill="1" applyBorder="1" applyAlignment="1" applyProtection="1">
      <alignment horizontal="center" vertical="center"/>
      <protection hidden="1"/>
    </xf>
    <xf numFmtId="0" fontId="75" fillId="10" borderId="32" xfId="0" applyFont="1" applyFill="1" applyBorder="1" applyAlignment="1" applyProtection="1">
      <alignment horizontal="center" vertical="center"/>
      <protection hidden="1"/>
    </xf>
    <xf numFmtId="0" fontId="75" fillId="10" borderId="33" xfId="0" applyFont="1" applyFill="1" applyBorder="1" applyAlignment="1" applyProtection="1">
      <alignment horizontal="center" vertical="center"/>
      <protection hidden="1"/>
    </xf>
    <xf numFmtId="0" fontId="75" fillId="10" borderId="34" xfId="0" applyFont="1" applyFill="1" applyBorder="1" applyAlignment="1" applyProtection="1">
      <alignment horizontal="center" vertical="center"/>
      <protection hidden="1"/>
    </xf>
    <xf numFmtId="0" fontId="21" fillId="0" borderId="32" xfId="0" applyFont="1" applyBorder="1" applyAlignment="1" applyProtection="1">
      <alignment horizontal="center" vertical="center"/>
      <protection hidden="1"/>
    </xf>
    <xf numFmtId="0" fontId="21" fillId="0" borderId="33" xfId="0" applyFont="1" applyBorder="1" applyAlignment="1" applyProtection="1">
      <alignment horizontal="center" vertical="center"/>
      <protection hidden="1"/>
    </xf>
    <xf numFmtId="0" fontId="89" fillId="0" borderId="16" xfId="0" applyFont="1" applyBorder="1" applyAlignment="1" applyProtection="1">
      <alignment horizontal="center" vertical="center" wrapText="1"/>
      <protection hidden="1"/>
    </xf>
    <xf numFmtId="0" fontId="89" fillId="0" borderId="4" xfId="0" applyFont="1" applyBorder="1" applyAlignment="1" applyProtection="1">
      <alignment horizontal="center" vertical="center" wrapText="1"/>
      <protection hidden="1"/>
    </xf>
    <xf numFmtId="0" fontId="26" fillId="7" borderId="21" xfId="0" applyFont="1" applyFill="1" applyBorder="1" applyAlignment="1">
      <alignment horizontal="center" vertical="center"/>
    </xf>
    <xf numFmtId="0" fontId="26" fillId="7" borderId="48" xfId="0" applyFont="1" applyFill="1" applyBorder="1" applyAlignment="1">
      <alignment horizontal="center" vertical="center"/>
    </xf>
    <xf numFmtId="0" fontId="58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36" xfId="0" applyFont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16" fillId="7" borderId="32" xfId="0" applyFont="1" applyFill="1" applyBorder="1" applyAlignment="1" applyProtection="1">
      <alignment horizontal="center" vertical="center"/>
      <protection hidden="1"/>
    </xf>
    <xf numFmtId="0" fontId="16" fillId="7" borderId="33" xfId="0" applyFont="1" applyFill="1" applyBorder="1" applyAlignment="1" applyProtection="1">
      <alignment horizontal="center" vertical="center"/>
      <protection hidden="1"/>
    </xf>
    <xf numFmtId="0" fontId="16" fillId="7" borderId="34" xfId="0" applyFont="1" applyFill="1" applyBorder="1" applyAlignment="1" applyProtection="1">
      <alignment horizontal="center" vertical="center"/>
      <protection hidden="1"/>
    </xf>
    <xf numFmtId="0" fontId="0" fillId="7" borderId="29" xfId="0" applyFill="1" applyBorder="1" applyAlignment="1" applyProtection="1">
      <alignment horizontal="center" vertical="center"/>
      <protection hidden="1"/>
    </xf>
    <xf numFmtId="0" fontId="0" fillId="7" borderId="30" xfId="0" applyFill="1" applyBorder="1" applyAlignment="1" applyProtection="1">
      <alignment horizontal="center" vertical="center"/>
      <protection hidden="1"/>
    </xf>
    <xf numFmtId="0" fontId="0" fillId="7" borderId="31" xfId="0" applyFill="1" applyBorder="1" applyAlignment="1" applyProtection="1">
      <alignment horizontal="center" vertical="center"/>
      <protection hidden="1"/>
    </xf>
    <xf numFmtId="0" fontId="0" fillId="7" borderId="23" xfId="0" applyFill="1" applyBorder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0" fillId="7" borderId="25" xfId="0" applyFill="1" applyBorder="1" applyAlignment="1" applyProtection="1">
      <alignment horizontal="center" vertical="center"/>
      <protection hidden="1"/>
    </xf>
    <xf numFmtId="0" fontId="17" fillId="0" borderId="10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17" fillId="5" borderId="16" xfId="0" applyFont="1" applyFill="1" applyBorder="1" applyAlignment="1" applyProtection="1">
      <alignment horizontal="center" vertical="center" wrapText="1"/>
      <protection hidden="1"/>
    </xf>
    <xf numFmtId="0" fontId="17" fillId="5" borderId="3" xfId="0" applyFont="1" applyFill="1" applyBorder="1" applyAlignment="1" applyProtection="1">
      <alignment horizontal="center" vertical="center" wrapText="1"/>
      <protection hidden="1"/>
    </xf>
    <xf numFmtId="0" fontId="17" fillId="5" borderId="4" xfId="0" applyFont="1" applyFill="1" applyBorder="1" applyAlignment="1" applyProtection="1">
      <alignment horizontal="center" vertical="center" wrapText="1"/>
      <protection hidden="1"/>
    </xf>
    <xf numFmtId="0" fontId="17" fillId="5" borderId="1" xfId="0" applyFont="1" applyFill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 applyProtection="1">
      <alignment horizontal="center" vertical="center" wrapText="1"/>
      <protection hidden="1"/>
    </xf>
    <xf numFmtId="0" fontId="61" fillId="0" borderId="1" xfId="0" applyFont="1" applyBorder="1" applyAlignment="1" applyProtection="1">
      <alignment horizontal="center" vertical="center" wrapText="1"/>
      <protection hidden="1"/>
    </xf>
    <xf numFmtId="0" fontId="5" fillId="0" borderId="47" xfId="0" applyFont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48" xfId="0" applyFont="1" applyBorder="1" applyAlignment="1" applyProtection="1">
      <alignment horizontal="center" vertical="center" wrapText="1"/>
      <protection hidden="1"/>
    </xf>
    <xf numFmtId="0" fontId="61" fillId="0" borderId="35" xfId="0" applyFont="1" applyBorder="1" applyAlignment="1" applyProtection="1">
      <alignment horizontal="center" vertical="center" wrapText="1"/>
      <protection hidden="1"/>
    </xf>
    <xf numFmtId="0" fontId="61" fillId="0" borderId="36" xfId="0" applyFont="1" applyBorder="1" applyAlignment="1" applyProtection="1">
      <alignment horizontal="center" vertical="center" wrapText="1"/>
      <protection hidden="1"/>
    </xf>
    <xf numFmtId="0" fontId="61" fillId="0" borderId="44" xfId="0" applyFont="1" applyBorder="1" applyAlignment="1" applyProtection="1">
      <alignment horizontal="center" vertical="center" wrapText="1"/>
      <protection hidden="1"/>
    </xf>
    <xf numFmtId="0" fontId="5" fillId="0" borderId="49" xfId="0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61" fillId="3" borderId="21" xfId="0" applyFont="1" applyFill="1" applyBorder="1" applyAlignment="1" applyProtection="1">
      <alignment horizontal="center" vertical="center" wrapText="1"/>
      <protection hidden="1"/>
    </xf>
    <xf numFmtId="0" fontId="61" fillId="3" borderId="48" xfId="0" applyFont="1" applyFill="1" applyBorder="1" applyAlignment="1" applyProtection="1">
      <alignment horizontal="center" vertical="center" wrapText="1"/>
      <protection hidden="1"/>
    </xf>
    <xf numFmtId="49" fontId="63" fillId="0" borderId="1" xfId="0" applyNumberFormat="1" applyFont="1" applyBorder="1" applyAlignment="1" applyProtection="1">
      <alignment horizontal="center" vertical="center" wrapText="1"/>
      <protection hidden="1"/>
    </xf>
    <xf numFmtId="0" fontId="61" fillId="3" borderId="36" xfId="0" applyFont="1" applyFill="1" applyBorder="1" applyAlignment="1" applyProtection="1">
      <alignment horizontal="center" vertical="center" wrapText="1"/>
      <protection hidden="1"/>
    </xf>
    <xf numFmtId="49" fontId="5" fillId="0" borderId="1" xfId="0" applyNumberFormat="1" applyFont="1" applyBorder="1" applyAlignment="1" applyProtection="1">
      <alignment horizontal="center" vertical="center" wrapText="1"/>
      <protection hidden="1"/>
    </xf>
    <xf numFmtId="2" fontId="13" fillId="0" borderId="1" xfId="0" applyNumberFormat="1" applyFont="1" applyBorder="1" applyAlignment="1" applyProtection="1">
      <alignment horizontal="right" vertical="center" wrapText="1"/>
      <protection hidden="1"/>
    </xf>
    <xf numFmtId="2" fontId="65" fillId="0" borderId="1" xfId="0" applyNumberFormat="1" applyFont="1" applyBorder="1" applyAlignment="1" applyProtection="1">
      <alignment horizontal="right" vertical="center" wrapText="1"/>
      <protection hidden="1"/>
    </xf>
    <xf numFmtId="0" fontId="59" fillId="10" borderId="0" xfId="0" applyFont="1" applyFill="1" applyAlignment="1" applyProtection="1">
      <alignment horizontal="center" vertical="center" wrapText="1"/>
      <protection hidden="1"/>
    </xf>
    <xf numFmtId="49" fontId="13" fillId="0" borderId="1" xfId="0" applyNumberFormat="1" applyFont="1" applyBorder="1" applyAlignment="1" applyProtection="1">
      <alignment horizontal="center" vertical="center" wrapText="1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36" xfId="0" applyFont="1" applyBorder="1" applyAlignment="1" applyProtection="1">
      <alignment horizontal="center" vertical="center" wrapText="1"/>
      <protection hidden="1"/>
    </xf>
    <xf numFmtId="0" fontId="65" fillId="0" borderId="44" xfId="0" applyFont="1" applyBorder="1" applyAlignment="1" applyProtection="1">
      <alignment horizontal="center" vertical="center" wrapText="1"/>
      <protection hidden="1"/>
    </xf>
    <xf numFmtId="0" fontId="61" fillId="5" borderId="1" xfId="0" applyFont="1" applyFill="1" applyBorder="1" applyAlignment="1" applyProtection="1">
      <alignment horizontal="center" vertical="center" wrapText="1"/>
      <protection hidden="1"/>
    </xf>
    <xf numFmtId="0" fontId="65" fillId="5" borderId="1" xfId="0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3" fillId="5" borderId="47" xfId="0" applyFont="1" applyFill="1" applyBorder="1" applyAlignment="1" applyProtection="1">
      <alignment horizontal="center" vertical="center" wrapText="1"/>
      <protection hidden="1"/>
    </xf>
    <xf numFmtId="0" fontId="3" fillId="5" borderId="21" xfId="0" applyFont="1" applyFill="1" applyBorder="1" applyAlignment="1" applyProtection="1">
      <alignment horizontal="center" vertical="center" wrapText="1"/>
      <protection hidden="1"/>
    </xf>
    <xf numFmtId="0" fontId="13" fillId="3" borderId="2" xfId="0" applyFont="1" applyFill="1" applyBorder="1" applyAlignment="1" applyProtection="1">
      <alignment horizontal="center" vertical="center" wrapText="1"/>
      <protection hidden="1"/>
    </xf>
    <xf numFmtId="0" fontId="13" fillId="3" borderId="4" xfId="0" applyFont="1" applyFill="1" applyBorder="1" applyAlignment="1" applyProtection="1">
      <alignment horizontal="center" vertical="center" wrapText="1"/>
      <protection hidden="1"/>
    </xf>
    <xf numFmtId="49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3" borderId="1" xfId="0" applyFont="1" applyFill="1" applyBorder="1" applyAlignment="1" applyProtection="1">
      <alignment horizontal="center" vertical="center" wrapText="1"/>
      <protection hidden="1"/>
    </xf>
    <xf numFmtId="0" fontId="61" fillId="0" borderId="2" xfId="0" applyFont="1" applyBorder="1" applyAlignment="1" applyProtection="1">
      <alignment horizontal="center" vertical="center" wrapText="1"/>
      <protection hidden="1"/>
    </xf>
    <xf numFmtId="0" fontId="61" fillId="0" borderId="3" xfId="0" applyFont="1" applyBorder="1" applyAlignment="1" applyProtection="1">
      <alignment horizontal="center" vertical="center" wrapText="1"/>
      <protection hidden="1"/>
    </xf>
    <xf numFmtId="0" fontId="61" fillId="0" borderId="4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49" fontId="68" fillId="0" borderId="1" xfId="0" applyNumberFormat="1" applyFont="1" applyBorder="1" applyAlignment="1" applyProtection="1">
      <alignment horizontal="center"/>
      <protection hidden="1"/>
    </xf>
    <xf numFmtId="0" fontId="58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 wrapText="1"/>
      <protection hidden="1"/>
    </xf>
    <xf numFmtId="0" fontId="59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hidden="1"/>
    </xf>
    <xf numFmtId="0" fontId="17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20" xfId="0" applyFont="1" applyBorder="1" applyAlignment="1" applyProtection="1">
      <alignment horizontal="left" vertical="center" wrapText="1"/>
      <protection hidden="1"/>
    </xf>
    <xf numFmtId="0" fontId="5" fillId="0" borderId="21" xfId="0" applyFont="1" applyBorder="1" applyAlignment="1" applyProtection="1">
      <alignment horizontal="left" vertical="center" wrapText="1"/>
      <protection hidden="1"/>
    </xf>
    <xf numFmtId="0" fontId="5" fillId="22" borderId="1" xfId="0" applyFont="1" applyFill="1" applyBorder="1" applyAlignment="1" applyProtection="1">
      <alignment horizontal="center" vertical="center" wrapText="1"/>
      <protection hidden="1"/>
    </xf>
    <xf numFmtId="0" fontId="65" fillId="23" borderId="1" xfId="0" applyFont="1" applyFill="1" applyBorder="1" applyAlignment="1" applyProtection="1">
      <alignment horizontal="right" vertical="center" wrapText="1"/>
      <protection hidden="1"/>
    </xf>
    <xf numFmtId="0" fontId="65" fillId="23" borderId="2" xfId="0" applyFont="1" applyFill="1" applyBorder="1" applyAlignment="1" applyProtection="1">
      <alignment horizontal="right" vertical="center" wrapText="1"/>
      <protection hidden="1"/>
    </xf>
    <xf numFmtId="0" fontId="59" fillId="22" borderId="1" xfId="0" applyFont="1" applyFill="1" applyBorder="1" applyAlignment="1" applyProtection="1">
      <alignment horizontal="right" vertical="center" wrapText="1"/>
      <protection hidden="1"/>
    </xf>
    <xf numFmtId="0" fontId="17" fillId="0" borderId="23" xfId="0" applyFont="1" applyBorder="1" applyAlignment="1" applyProtection="1">
      <alignment horizontal="left" vertical="center" wrapText="1"/>
      <protection hidden="1"/>
    </xf>
    <xf numFmtId="0" fontId="17" fillId="0" borderId="0" xfId="0" applyFont="1" applyAlignment="1" applyProtection="1">
      <alignment horizontal="left" vertical="center" wrapText="1"/>
      <protection hidden="1"/>
    </xf>
    <xf numFmtId="1" fontId="12" fillId="0" borderId="1" xfId="0" applyNumberFormat="1" applyFont="1" applyBorder="1" applyAlignment="1" applyProtection="1">
      <alignment horizontal="right" vertical="center" wrapText="1"/>
      <protection hidden="1"/>
    </xf>
    <xf numFmtId="0" fontId="12" fillId="0" borderId="1" xfId="0" applyFont="1" applyBorder="1" applyAlignment="1" applyProtection="1">
      <alignment horizontal="right" vertical="center" wrapText="1"/>
      <protection hidden="1"/>
    </xf>
    <xf numFmtId="0" fontId="13" fillId="0" borderId="23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left" vertical="center" wrapText="1"/>
      <protection hidden="1"/>
    </xf>
    <xf numFmtId="0" fontId="5" fillId="0" borderId="23" xfId="0" applyFont="1" applyBorder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12" fillId="22" borderId="47" xfId="0" applyFont="1" applyFill="1" applyBorder="1" applyAlignment="1" applyProtection="1">
      <alignment horizontal="right" vertical="center" wrapText="1"/>
      <protection hidden="1"/>
    </xf>
    <xf numFmtId="0" fontId="12" fillId="22" borderId="48" xfId="0" applyFont="1" applyFill="1" applyBorder="1" applyAlignment="1" applyProtection="1">
      <alignment horizontal="right" vertical="center" wrapText="1"/>
      <protection hidden="1"/>
    </xf>
    <xf numFmtId="0" fontId="12" fillId="22" borderId="35" xfId="0" applyFont="1" applyFill="1" applyBorder="1" applyAlignment="1" applyProtection="1">
      <alignment horizontal="right" vertical="center" wrapText="1"/>
      <protection hidden="1"/>
    </xf>
    <xf numFmtId="0" fontId="12" fillId="22" borderId="44" xfId="0" applyFont="1" applyFill="1" applyBorder="1" applyAlignment="1" applyProtection="1">
      <alignment horizontal="right" vertical="center" wrapText="1"/>
      <protection hidden="1"/>
    </xf>
    <xf numFmtId="1" fontId="65" fillId="0" borderId="1" xfId="0" applyNumberFormat="1" applyFont="1" applyBorder="1" applyAlignment="1" applyProtection="1">
      <alignment horizontal="right" vertical="center" wrapText="1"/>
      <protection hidden="1"/>
    </xf>
    <xf numFmtId="0" fontId="17" fillId="0" borderId="23" xfId="0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 applyProtection="1">
      <alignment horizontal="right" vertical="center" wrapText="1"/>
      <protection hidden="1"/>
    </xf>
    <xf numFmtId="0" fontId="12" fillId="3" borderId="1" xfId="0" applyFont="1" applyFill="1" applyBorder="1" applyAlignment="1" applyProtection="1">
      <alignment horizontal="right" vertical="center" wrapText="1"/>
      <protection locked="0"/>
    </xf>
    <xf numFmtId="0" fontId="65" fillId="22" borderId="47" xfId="0" applyFont="1" applyFill="1" applyBorder="1" applyAlignment="1" applyProtection="1">
      <alignment horizontal="center" vertical="center" wrapText="1"/>
      <protection hidden="1"/>
    </xf>
    <xf numFmtId="0" fontId="65" fillId="22" borderId="48" xfId="0" applyFont="1" applyFill="1" applyBorder="1" applyAlignment="1" applyProtection="1">
      <alignment horizontal="center" vertical="center" wrapText="1"/>
      <protection hidden="1"/>
    </xf>
    <xf numFmtId="0" fontId="65" fillId="22" borderId="37" xfId="0" applyFont="1" applyFill="1" applyBorder="1" applyAlignment="1" applyProtection="1">
      <alignment horizontal="center" vertical="center" wrapText="1"/>
      <protection hidden="1"/>
    </xf>
    <xf numFmtId="0" fontId="65" fillId="22" borderId="51" xfId="0" applyFont="1" applyFill="1" applyBorder="1" applyAlignment="1" applyProtection="1">
      <alignment horizontal="center" vertical="center" wrapText="1"/>
      <protection hidden="1"/>
    </xf>
    <xf numFmtId="0" fontId="65" fillId="22" borderId="35" xfId="0" applyFont="1" applyFill="1" applyBorder="1" applyAlignment="1" applyProtection="1">
      <alignment horizontal="center" vertical="center" wrapText="1"/>
      <protection hidden="1"/>
    </xf>
    <xf numFmtId="0" fontId="65" fillId="22" borderId="44" xfId="0" applyFont="1" applyFill="1" applyBorder="1" applyAlignment="1" applyProtection="1">
      <alignment horizontal="center" vertical="center" wrapText="1"/>
      <protection hidden="1"/>
    </xf>
    <xf numFmtId="1" fontId="65" fillId="0" borderId="2" xfId="0" applyNumberFormat="1" applyFont="1" applyBorder="1" applyAlignment="1" applyProtection="1">
      <alignment horizontal="right" vertical="center" wrapText="1"/>
      <protection hidden="1"/>
    </xf>
    <xf numFmtId="0" fontId="12" fillId="23" borderId="47" xfId="0" applyFont="1" applyFill="1" applyBorder="1" applyAlignment="1" applyProtection="1">
      <alignment horizontal="right" vertical="center" wrapText="1"/>
      <protection hidden="1"/>
    </xf>
    <xf numFmtId="0" fontId="12" fillId="23" borderId="48" xfId="0" applyFont="1" applyFill="1" applyBorder="1" applyAlignment="1" applyProtection="1">
      <alignment horizontal="right" vertical="center" wrapText="1"/>
      <protection hidden="1"/>
    </xf>
    <xf numFmtId="0" fontId="12" fillId="23" borderId="37" xfId="0" applyFont="1" applyFill="1" applyBorder="1" applyAlignment="1" applyProtection="1">
      <alignment horizontal="right" vertical="center" wrapText="1"/>
      <protection hidden="1"/>
    </xf>
    <xf numFmtId="0" fontId="12" fillId="23" borderId="51" xfId="0" applyFont="1" applyFill="1" applyBorder="1" applyAlignment="1" applyProtection="1">
      <alignment horizontal="right" vertical="center" wrapText="1"/>
      <protection hidden="1"/>
    </xf>
    <xf numFmtId="0" fontId="12" fillId="23" borderId="35" xfId="0" applyFont="1" applyFill="1" applyBorder="1" applyAlignment="1" applyProtection="1">
      <alignment horizontal="right" vertical="center" wrapText="1"/>
      <protection hidden="1"/>
    </xf>
    <xf numFmtId="0" fontId="12" fillId="23" borderId="44" xfId="0" applyFont="1" applyFill="1" applyBorder="1" applyAlignment="1" applyProtection="1">
      <alignment horizontal="right" vertical="center" wrapText="1"/>
      <protection hidden="1"/>
    </xf>
    <xf numFmtId="0" fontId="12" fillId="22" borderId="47" xfId="0" applyFont="1" applyFill="1" applyBorder="1" applyAlignment="1" applyProtection="1">
      <alignment horizontal="center" vertical="center" wrapText="1"/>
      <protection hidden="1"/>
    </xf>
    <xf numFmtId="0" fontId="12" fillId="22" borderId="21" xfId="0" applyFont="1" applyFill="1" applyBorder="1" applyAlignment="1" applyProtection="1">
      <alignment horizontal="center" vertical="center" wrapText="1"/>
      <protection hidden="1"/>
    </xf>
    <xf numFmtId="0" fontId="12" fillId="22" borderId="37" xfId="0" applyFont="1" applyFill="1" applyBorder="1" applyAlignment="1" applyProtection="1">
      <alignment horizontal="center" vertical="center" wrapText="1"/>
      <protection hidden="1"/>
    </xf>
    <xf numFmtId="0" fontId="12" fillId="22" borderId="0" xfId="0" applyFont="1" applyFill="1" applyAlignment="1" applyProtection="1">
      <alignment horizontal="center" vertical="center" wrapText="1"/>
      <protection hidden="1"/>
    </xf>
    <xf numFmtId="0" fontId="12" fillId="22" borderId="35" xfId="0" applyFont="1" applyFill="1" applyBorder="1" applyAlignment="1" applyProtection="1">
      <alignment horizontal="center" vertical="center" wrapText="1"/>
      <protection hidden="1"/>
    </xf>
    <xf numFmtId="0" fontId="12" fillId="22" borderId="36" xfId="0" applyFont="1" applyFill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right" vertical="center" wrapText="1"/>
      <protection hidden="1"/>
    </xf>
    <xf numFmtId="0" fontId="65" fillId="22" borderId="1" xfId="0" applyFont="1" applyFill="1" applyBorder="1" applyAlignment="1" applyProtection="1">
      <alignment horizontal="right" vertical="center" wrapText="1"/>
      <protection hidden="1"/>
    </xf>
    <xf numFmtId="1" fontId="5" fillId="0" borderId="1" xfId="0" applyNumberFormat="1" applyFont="1" applyBorder="1" applyAlignment="1" applyProtection="1">
      <alignment horizontal="right" vertical="center" wrapText="1"/>
      <protection hidden="1"/>
    </xf>
    <xf numFmtId="0" fontId="12" fillId="0" borderId="37" xfId="0" applyFont="1" applyBorder="1" applyAlignment="1" applyProtection="1">
      <alignment horizontal="left" vertical="center" wrapText="1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right" vertical="center" wrapText="1"/>
      <protection hidden="1"/>
    </xf>
    <xf numFmtId="0" fontId="5" fillId="4" borderId="16" xfId="0" applyFont="1" applyFill="1" applyBorder="1" applyAlignment="1" applyProtection="1">
      <alignment horizontal="left" vertical="center" wrapText="1"/>
      <protection hidden="1"/>
    </xf>
    <xf numFmtId="0" fontId="5" fillId="4" borderId="3" xfId="0" applyFont="1" applyFill="1" applyBorder="1" applyAlignment="1" applyProtection="1">
      <alignment horizontal="left" vertical="center" wrapText="1"/>
      <protection hidden="1"/>
    </xf>
    <xf numFmtId="0" fontId="58" fillId="4" borderId="1" xfId="0" applyFont="1" applyFill="1" applyBorder="1" applyAlignment="1" applyProtection="1">
      <alignment horizontal="center" vertical="center" wrapText="1"/>
      <protection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0" fontId="3" fillId="5" borderId="4" xfId="0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3" fillId="4" borderId="17" xfId="0" applyFont="1" applyFill="1" applyBorder="1" applyAlignment="1" applyProtection="1">
      <alignment horizontal="center" vertical="center" wrapText="1"/>
      <protection hidden="1"/>
    </xf>
    <xf numFmtId="1" fontId="5" fillId="0" borderId="4" xfId="0" applyNumberFormat="1" applyFont="1" applyBorder="1" applyAlignment="1" applyProtection="1">
      <alignment horizontal="right" vertical="center" wrapText="1"/>
      <protection hidden="1"/>
    </xf>
    <xf numFmtId="0" fontId="13" fillId="22" borderId="37" xfId="0" applyFont="1" applyFill="1" applyBorder="1" applyAlignment="1" applyProtection="1">
      <alignment horizontal="center" vertical="center" wrapText="1"/>
      <protection hidden="1"/>
    </xf>
    <xf numFmtId="0" fontId="13" fillId="22" borderId="51" xfId="0" applyFont="1" applyFill="1" applyBorder="1" applyAlignment="1" applyProtection="1">
      <alignment horizontal="center" vertical="center" wrapText="1"/>
      <protection hidden="1"/>
    </xf>
    <xf numFmtId="0" fontId="12" fillId="0" borderId="51" xfId="0" applyFont="1" applyBorder="1" applyAlignment="1" applyProtection="1">
      <alignment horizontal="left" vertical="center" wrapText="1"/>
      <protection hidden="1"/>
    </xf>
    <xf numFmtId="0" fontId="12" fillId="0" borderId="23" xfId="0" applyFont="1" applyBorder="1" applyAlignment="1" applyProtection="1">
      <alignment horizontal="left" vertical="center" wrapText="1"/>
      <protection hidden="1"/>
    </xf>
    <xf numFmtId="0" fontId="14" fillId="23" borderId="37" xfId="0" applyFont="1" applyFill="1" applyBorder="1" applyAlignment="1" applyProtection="1">
      <alignment horizontal="center" wrapText="1"/>
      <protection hidden="1"/>
    </xf>
    <xf numFmtId="0" fontId="14" fillId="23" borderId="51" xfId="0" applyFont="1" applyFill="1" applyBorder="1" applyAlignment="1" applyProtection="1">
      <alignment horizontal="center" wrapText="1"/>
      <protection hidden="1"/>
    </xf>
    <xf numFmtId="0" fontId="14" fillId="23" borderId="35" xfId="0" applyFont="1" applyFill="1" applyBorder="1" applyAlignment="1" applyProtection="1">
      <alignment horizontal="center" wrapText="1"/>
      <protection hidden="1"/>
    </xf>
    <xf numFmtId="0" fontId="14" fillId="23" borderId="44" xfId="0" applyFont="1" applyFill="1" applyBorder="1" applyAlignment="1" applyProtection="1">
      <alignment horizontal="center" wrapText="1"/>
      <protection hidden="1"/>
    </xf>
    <xf numFmtId="0" fontId="14" fillId="23" borderId="47" xfId="0" applyFont="1" applyFill="1" applyBorder="1" applyAlignment="1" applyProtection="1">
      <alignment horizontal="center" vertical="center" wrapText="1"/>
      <protection hidden="1"/>
    </xf>
    <xf numFmtId="0" fontId="14" fillId="23" borderId="48" xfId="0" applyFont="1" applyFill="1" applyBorder="1" applyAlignment="1" applyProtection="1">
      <alignment horizontal="center" vertical="center" wrapText="1"/>
      <protection hidden="1"/>
    </xf>
    <xf numFmtId="0" fontId="14" fillId="23" borderId="37" xfId="0" applyFont="1" applyFill="1" applyBorder="1" applyAlignment="1" applyProtection="1">
      <alignment horizontal="center" vertical="center" wrapText="1"/>
      <protection hidden="1"/>
    </xf>
    <xf numFmtId="0" fontId="14" fillId="23" borderId="51" xfId="0" applyFont="1" applyFill="1" applyBorder="1" applyAlignment="1" applyProtection="1">
      <alignment horizontal="center" vertical="center" wrapText="1"/>
      <protection hidden="1"/>
    </xf>
    <xf numFmtId="0" fontId="12" fillId="0" borderId="47" xfId="0" applyFont="1" applyBorder="1" applyAlignment="1" applyProtection="1">
      <alignment horizontal="left" vertical="center" wrapText="1"/>
      <protection hidden="1"/>
    </xf>
    <xf numFmtId="0" fontId="12" fillId="0" borderId="21" xfId="0" applyFont="1" applyBorder="1" applyAlignment="1" applyProtection="1">
      <alignment horizontal="left" vertical="center" wrapText="1"/>
      <protection hidden="1"/>
    </xf>
    <xf numFmtId="0" fontId="59" fillId="22" borderId="47" xfId="0" applyFont="1" applyFill="1" applyBorder="1" applyAlignment="1" applyProtection="1">
      <alignment horizontal="center" vertical="center" wrapText="1"/>
      <protection hidden="1"/>
    </xf>
    <xf numFmtId="0" fontId="59" fillId="22" borderId="48" xfId="0" applyFont="1" applyFill="1" applyBorder="1" applyAlignment="1" applyProtection="1">
      <alignment horizontal="center" vertical="center" wrapText="1"/>
      <protection hidden="1"/>
    </xf>
    <xf numFmtId="0" fontId="59" fillId="22" borderId="37" xfId="0" applyFont="1" applyFill="1" applyBorder="1" applyAlignment="1" applyProtection="1">
      <alignment horizontal="center" vertical="center" wrapText="1"/>
      <protection hidden="1"/>
    </xf>
    <xf numFmtId="0" fontId="59" fillId="22" borderId="51" xfId="0" applyFont="1" applyFill="1" applyBorder="1" applyAlignment="1" applyProtection="1">
      <alignment horizontal="center" vertical="center" wrapText="1"/>
      <protection hidden="1"/>
    </xf>
    <xf numFmtId="0" fontId="59" fillId="22" borderId="35" xfId="0" applyFont="1" applyFill="1" applyBorder="1" applyAlignment="1" applyProtection="1">
      <alignment horizontal="center" vertical="center" wrapText="1"/>
      <protection hidden="1"/>
    </xf>
    <xf numFmtId="0" fontId="59" fillId="22" borderId="44" xfId="0" applyFont="1" applyFill="1" applyBorder="1" applyAlignment="1" applyProtection="1">
      <alignment horizontal="center" vertical="center" wrapText="1"/>
      <protection hidden="1"/>
    </xf>
    <xf numFmtId="0" fontId="13" fillId="22" borderId="35" xfId="0" applyFont="1" applyFill="1" applyBorder="1" applyAlignment="1" applyProtection="1">
      <alignment horizontal="center" vertical="top" wrapText="1"/>
      <protection hidden="1"/>
    </xf>
    <xf numFmtId="0" fontId="13" fillId="22" borderId="44" xfId="0" applyFont="1" applyFill="1" applyBorder="1" applyAlignment="1" applyProtection="1">
      <alignment horizontal="center" vertical="top" wrapText="1"/>
      <protection hidden="1"/>
    </xf>
    <xf numFmtId="0" fontId="5" fillId="0" borderId="50" xfId="0" applyFont="1" applyBorder="1" applyAlignment="1" applyProtection="1">
      <alignment horizontal="left" vertical="center" wrapText="1"/>
      <protection hidden="1"/>
    </xf>
    <xf numFmtId="0" fontId="5" fillId="0" borderId="36" xfId="0" applyFont="1" applyBorder="1" applyAlignment="1" applyProtection="1">
      <alignment horizontal="left" vertical="center" wrapText="1"/>
      <protection hidden="1"/>
    </xf>
    <xf numFmtId="0" fontId="5" fillId="0" borderId="44" xfId="0" applyFont="1" applyBorder="1" applyAlignment="1" applyProtection="1">
      <alignment horizontal="left" vertical="center" wrapText="1"/>
      <protection hidden="1"/>
    </xf>
    <xf numFmtId="0" fontId="13" fillId="0" borderId="2" xfId="0" applyFont="1" applyBorder="1" applyAlignment="1" applyProtection="1">
      <alignment horizontal="right" vertical="center" wrapText="1"/>
      <protection hidden="1"/>
    </xf>
    <xf numFmtId="0" fontId="13" fillId="0" borderId="4" xfId="0" applyFont="1" applyBorder="1" applyAlignment="1" applyProtection="1">
      <alignment horizontal="right" vertical="center" wrapText="1"/>
      <protection hidden="1"/>
    </xf>
    <xf numFmtId="0" fontId="5" fillId="4" borderId="1" xfId="0" applyFont="1" applyFill="1" applyBorder="1" applyAlignment="1" applyProtection="1">
      <alignment horizontal="left" vertical="center" wrapText="1"/>
      <protection hidden="1"/>
    </xf>
    <xf numFmtId="0" fontId="12" fillId="0" borderId="1" xfId="0" applyFont="1" applyBorder="1" applyAlignment="1" applyProtection="1">
      <alignment horizontal="right" wrapText="1"/>
      <protection hidden="1"/>
    </xf>
    <xf numFmtId="0" fontId="12" fillId="0" borderId="2" xfId="0" applyFont="1" applyBorder="1" applyAlignment="1" applyProtection="1">
      <alignment horizontal="right" vertical="center" wrapText="1"/>
      <protection hidden="1"/>
    </xf>
    <xf numFmtId="0" fontId="12" fillId="0" borderId="4" xfId="0" applyFont="1" applyBorder="1" applyAlignment="1" applyProtection="1">
      <alignment horizontal="right" vertical="center" wrapText="1"/>
      <protection hidden="1"/>
    </xf>
    <xf numFmtId="0" fontId="65" fillId="0" borderId="50" xfId="0" applyFont="1" applyBorder="1" applyAlignment="1" applyProtection="1">
      <alignment horizontal="left" vertical="center" wrapText="1"/>
      <protection hidden="1"/>
    </xf>
    <xf numFmtId="0" fontId="65" fillId="0" borderId="36" xfId="0" applyFont="1" applyBorder="1" applyAlignment="1" applyProtection="1">
      <alignment horizontal="left" vertical="center" wrapText="1"/>
      <protection hidden="1"/>
    </xf>
    <xf numFmtId="0" fontId="65" fillId="0" borderId="44" xfId="0" applyFont="1" applyBorder="1" applyAlignment="1" applyProtection="1">
      <alignment horizontal="left" vertical="center" wrapText="1"/>
      <protection hidden="1"/>
    </xf>
    <xf numFmtId="0" fontId="65" fillId="23" borderId="1" xfId="0" applyFont="1" applyFill="1" applyBorder="1" applyAlignment="1" applyProtection="1">
      <alignment horizontal="center" vertical="center" wrapText="1"/>
      <protection hidden="1"/>
    </xf>
    <xf numFmtId="0" fontId="65" fillId="0" borderId="2" xfId="0" applyFont="1" applyBorder="1" applyAlignment="1" applyProtection="1">
      <alignment horizontal="right" vertical="center" wrapText="1"/>
      <protection hidden="1"/>
    </xf>
    <xf numFmtId="0" fontId="65" fillId="0" borderId="4" xfId="0" applyFont="1" applyBorder="1" applyAlignment="1" applyProtection="1">
      <alignment horizontal="right" vertical="center" wrapText="1"/>
      <protection hidden="1"/>
    </xf>
    <xf numFmtId="0" fontId="5" fillId="24" borderId="23" xfId="0" applyFont="1" applyFill="1" applyBorder="1" applyAlignment="1" applyProtection="1">
      <alignment horizontal="center" vertical="center" wrapText="1"/>
      <protection hidden="1"/>
    </xf>
    <xf numFmtId="0" fontId="5" fillId="24" borderId="0" xfId="0" applyFont="1" applyFill="1" applyAlignment="1" applyProtection="1">
      <alignment horizontal="center" vertical="center" wrapText="1"/>
      <protection hidden="1"/>
    </xf>
    <xf numFmtId="0" fontId="5" fillId="24" borderId="51" xfId="0" applyFont="1" applyFill="1" applyBorder="1" applyAlignment="1" applyProtection="1">
      <alignment horizontal="center" vertical="center" wrapText="1"/>
      <protection hidden="1"/>
    </xf>
    <xf numFmtId="0" fontId="65" fillId="24" borderId="2" xfId="0" applyFont="1" applyFill="1" applyBorder="1" applyAlignment="1" applyProtection="1">
      <alignment horizontal="right" vertical="center" wrapText="1"/>
      <protection hidden="1"/>
    </xf>
    <xf numFmtId="0" fontId="65" fillId="24" borderId="4" xfId="0" applyFont="1" applyFill="1" applyBorder="1" applyAlignment="1" applyProtection="1">
      <alignment horizontal="right" vertical="center" wrapText="1"/>
      <protection hidden="1"/>
    </xf>
    <xf numFmtId="0" fontId="5" fillId="0" borderId="37" xfId="0" applyFont="1" applyBorder="1" applyAlignment="1" applyProtection="1">
      <alignment horizontal="left" vertical="center" wrapText="1"/>
      <protection hidden="1"/>
    </xf>
    <xf numFmtId="0" fontId="5" fillId="0" borderId="51" xfId="0" applyFont="1" applyBorder="1" applyAlignment="1" applyProtection="1">
      <alignment horizontal="left" vertical="center" wrapText="1"/>
      <protection hidden="1"/>
    </xf>
    <xf numFmtId="0" fontId="65" fillId="23" borderId="37" xfId="0" applyFont="1" applyFill="1" applyBorder="1" applyAlignment="1" applyProtection="1">
      <alignment horizontal="center" vertical="center" wrapText="1"/>
      <protection hidden="1"/>
    </xf>
    <xf numFmtId="0" fontId="65" fillId="23" borderId="51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left" vertical="center" wrapText="1"/>
      <protection hidden="1"/>
    </xf>
    <xf numFmtId="0" fontId="65" fillId="23" borderId="35" xfId="0" applyFont="1" applyFill="1" applyBorder="1" applyAlignment="1" applyProtection="1">
      <alignment horizontal="center" vertical="center" wrapText="1"/>
      <protection hidden="1"/>
    </xf>
    <xf numFmtId="0" fontId="65" fillId="23" borderId="44" xfId="0" applyFont="1" applyFill="1" applyBorder="1" applyAlignment="1" applyProtection="1">
      <alignment horizontal="center" vertical="center" wrapText="1"/>
      <protection hidden="1"/>
    </xf>
    <xf numFmtId="0" fontId="17" fillId="0" borderId="37" xfId="0" applyFont="1" applyBorder="1" applyAlignment="1" applyProtection="1">
      <alignment horizontal="left" vertical="center" wrapText="1"/>
      <protection hidden="1"/>
    </xf>
    <xf numFmtId="0" fontId="17" fillId="0" borderId="51" xfId="0" applyFont="1" applyBorder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14" fontId="1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25" xfId="0" applyBorder="1" applyAlignment="1" applyProtection="1">
      <alignment horizontal="left" vertical="top"/>
      <protection hidden="1"/>
    </xf>
    <xf numFmtId="0" fontId="0" fillId="0" borderId="32" xfId="0" applyBorder="1" applyAlignment="1" applyProtection="1">
      <alignment horizontal="left" vertical="top"/>
      <protection hidden="1"/>
    </xf>
    <xf numFmtId="0" fontId="0" fillId="0" borderId="33" xfId="0" applyBorder="1" applyAlignment="1" applyProtection="1">
      <alignment horizontal="left" vertical="top"/>
      <protection hidden="1"/>
    </xf>
    <xf numFmtId="0" fontId="0" fillId="0" borderId="34" xfId="0" applyBorder="1" applyAlignment="1" applyProtection="1">
      <alignment horizontal="left" vertical="top"/>
      <protection hidden="1"/>
    </xf>
    <xf numFmtId="0" fontId="0" fillId="12" borderId="39" xfId="0" applyFill="1" applyBorder="1" applyAlignment="1" applyProtection="1">
      <alignment horizontal="center" vertical="center"/>
      <protection hidden="1"/>
    </xf>
    <xf numFmtId="0" fontId="0" fillId="12" borderId="40" xfId="0" applyFill="1" applyBorder="1" applyAlignment="1" applyProtection="1">
      <alignment horizontal="center" vertical="center"/>
      <protection hidden="1"/>
    </xf>
    <xf numFmtId="0" fontId="7" fillId="0" borderId="45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 vertical="center" wrapText="1"/>
      <protection hidden="1"/>
    </xf>
    <xf numFmtId="0" fontId="0" fillId="11" borderId="23" xfId="0" applyFill="1" applyBorder="1" applyAlignment="1" applyProtection="1">
      <alignment horizontal="center" vertical="center" wrapText="1"/>
      <protection hidden="1"/>
    </xf>
    <xf numFmtId="0" fontId="0" fillId="11" borderId="31" xfId="0" applyFill="1" applyBorder="1" applyAlignment="1" applyProtection="1">
      <alignment horizontal="center" vertical="center"/>
      <protection hidden="1"/>
    </xf>
    <xf numFmtId="0" fontId="0" fillId="11" borderId="34" xfId="0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1" fillId="7" borderId="39" xfId="0" applyFont="1" applyFill="1" applyBorder="1" applyAlignment="1" applyProtection="1">
      <alignment horizontal="center" vertical="center" wrapText="1"/>
      <protection hidden="1"/>
    </xf>
    <xf numFmtId="0" fontId="1" fillId="7" borderId="40" xfId="0" applyFont="1" applyFill="1" applyBorder="1" applyAlignment="1" applyProtection="1">
      <alignment horizontal="center" vertical="center" wrapText="1"/>
      <protection hidden="1"/>
    </xf>
    <xf numFmtId="0" fontId="55" fillId="0" borderId="23" xfId="0" applyFont="1" applyBorder="1" applyAlignment="1" applyProtection="1">
      <alignment horizontal="center" wrapText="1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42" fillId="15" borderId="41" xfId="0" applyFont="1" applyFill="1" applyBorder="1" applyAlignment="1" applyProtection="1">
      <alignment horizontal="center" vertical="center"/>
      <protection hidden="1"/>
    </xf>
    <xf numFmtId="0" fontId="42" fillId="15" borderId="42" xfId="0" applyFont="1" applyFill="1" applyBorder="1" applyAlignment="1" applyProtection="1">
      <alignment horizontal="center" vertical="center"/>
      <protection hidden="1"/>
    </xf>
    <xf numFmtId="0" fontId="42" fillId="15" borderId="43" xfId="0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left" vertical="top"/>
      <protection hidden="1"/>
    </xf>
    <xf numFmtId="0" fontId="0" fillId="0" borderId="31" xfId="0" applyBorder="1" applyAlignment="1" applyProtection="1">
      <alignment horizontal="left" vertical="top"/>
      <protection hidden="1"/>
    </xf>
    <xf numFmtId="0" fontId="0" fillId="32" borderId="2" xfId="0" applyFill="1" applyBorder="1" applyAlignment="1" applyProtection="1">
      <alignment horizontal="center"/>
      <protection hidden="1"/>
    </xf>
    <xf numFmtId="0" fontId="0" fillId="32" borderId="4" xfId="0" applyFill="1" applyBorder="1" applyAlignment="1" applyProtection="1">
      <alignment horizontal="center"/>
      <protection hidden="1"/>
    </xf>
    <xf numFmtId="0" fontId="0" fillId="32" borderId="2" xfId="0" applyFill="1" applyBorder="1" applyAlignment="1" applyProtection="1">
      <alignment horizontal="center" vertical="center"/>
      <protection hidden="1"/>
    </xf>
    <xf numFmtId="0" fontId="0" fillId="32" borderId="4" xfId="0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 wrapText="1"/>
      <protection hidden="1"/>
    </xf>
    <xf numFmtId="0" fontId="99" fillId="0" borderId="0" xfId="0" applyFont="1" applyBorder="1" applyAlignment="1"/>
    <xf numFmtId="2" fontId="98" fillId="0" borderId="1" xfId="0" applyNumberFormat="1" applyFont="1" applyBorder="1" applyAlignment="1">
      <alignment vertical="center"/>
    </xf>
    <xf numFmtId="0" fontId="99" fillId="0" borderId="1" xfId="0" applyFont="1" applyBorder="1" applyAlignment="1"/>
    <xf numFmtId="2" fontId="98" fillId="0" borderId="2" xfId="0" applyNumberFormat="1" applyFont="1" applyBorder="1" applyAlignment="1">
      <alignment horizontal="center" vertical="center" wrapText="1"/>
    </xf>
    <xf numFmtId="2" fontId="98" fillId="0" borderId="3" xfId="0" applyNumberFormat="1" applyFont="1" applyBorder="1" applyAlignment="1">
      <alignment horizontal="center" vertical="center" wrapText="1"/>
    </xf>
    <xf numFmtId="2" fontId="98" fillId="0" borderId="4" xfId="0" applyNumberFormat="1" applyFont="1" applyBorder="1" applyAlignment="1">
      <alignment horizontal="center" vertical="center" wrapText="1"/>
    </xf>
    <xf numFmtId="1" fontId="17" fillId="6" borderId="1" xfId="0" applyNumberFormat="1" applyFont="1" applyFill="1" applyBorder="1" applyAlignment="1" applyProtection="1">
      <alignment vertical="center"/>
      <protection hidden="1"/>
    </xf>
  </cellXfs>
  <cellStyles count="3">
    <cellStyle name="Good" xfId="1" builtinId="26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control!$W$24" fmlaRange="control!$X$24:$AA$27" noThreeD="1" sel="2" val="0"/>
</file>

<file path=xl/ctrlProps/ctrlProp2.xml><?xml version="1.0" encoding="utf-8"?>
<formControlPr xmlns="http://schemas.microsoft.com/office/spreadsheetml/2009/9/main" objectType="Drop" dropStyle="combo" dx="22" fmlaLink="$S$7" fmlaRange="$AA$7:$AA$9" noThreeD="1" sel="1" val="0"/>
</file>

<file path=xl/ctrlProps/ctrlProp3.xml><?xml version="1.0" encoding="utf-8"?>
<formControlPr xmlns="http://schemas.microsoft.com/office/spreadsheetml/2009/9/main" objectType="Drop" dropStyle="combo" dx="22" fmlaLink="control!$V$20" fmlaRange="control!$R$20:$S$21" noThreeD="1" sel="2" val="0"/>
</file>

<file path=xl/ctrlProps/ctrlProp4.xml><?xml version="1.0" encoding="utf-8"?>
<formControlPr xmlns="http://schemas.microsoft.com/office/spreadsheetml/2009/9/main" objectType="Drop" dropStyle="combo" dx="22" fmlaLink="$S$15:$S$16" fmlaRange="$T$15:$T$16" noThreeD="1" sel="2" val="0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Radio" checked="Checked" firstButton="1" fmlaLink="control!$S$31" lockText="1" noThreeD="1"/>
</file>

<file path=xl/ctrlProps/ctrlProp7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mitswebworld.blogspot.com/2011/01/free-download-hanuman-chalisa-in-hindi.html" TargetMode="External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9</xdr:row>
          <xdr:rowOff>76200</xdr:rowOff>
        </xdr:from>
        <xdr:to>
          <xdr:col>17</xdr:col>
          <xdr:colOff>571500</xdr:colOff>
          <xdr:row>9</xdr:row>
          <xdr:rowOff>400050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9525</xdr:colOff>
      <xdr:row>7</xdr:row>
      <xdr:rowOff>114300</xdr:rowOff>
    </xdr:from>
    <xdr:to>
      <xdr:col>13</xdr:col>
      <xdr:colOff>527783</xdr:colOff>
      <xdr:row>9</xdr:row>
      <xdr:rowOff>133776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9725" y="1971675"/>
          <a:ext cx="1127858" cy="524301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0</xdr:row>
      <xdr:rowOff>114300</xdr:rowOff>
    </xdr:from>
    <xdr:to>
      <xdr:col>13</xdr:col>
      <xdr:colOff>527783</xdr:colOff>
      <xdr:row>1</xdr:row>
      <xdr:rowOff>400476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114300"/>
          <a:ext cx="1127858" cy="5243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</xdr:row>
          <xdr:rowOff>66675</xdr:rowOff>
        </xdr:from>
        <xdr:to>
          <xdr:col>17</xdr:col>
          <xdr:colOff>504825</xdr:colOff>
          <xdr:row>1</xdr:row>
          <xdr:rowOff>381000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0</xdr:colOff>
      <xdr:row>10</xdr:row>
      <xdr:rowOff>400050</xdr:rowOff>
    </xdr:from>
    <xdr:to>
      <xdr:col>13</xdr:col>
      <xdr:colOff>518258</xdr:colOff>
      <xdr:row>11</xdr:row>
      <xdr:rowOff>190926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3000375"/>
          <a:ext cx="1127858" cy="5243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11</xdr:row>
          <xdr:rowOff>66675</xdr:rowOff>
        </xdr:from>
        <xdr:to>
          <xdr:col>17</xdr:col>
          <xdr:colOff>581025</xdr:colOff>
          <xdr:row>12</xdr:row>
          <xdr:rowOff>180975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0</xdr:colOff>
      <xdr:row>4</xdr:row>
      <xdr:rowOff>76200</xdr:rowOff>
    </xdr:from>
    <xdr:to>
      <xdr:col>13</xdr:col>
      <xdr:colOff>518258</xdr:colOff>
      <xdr:row>6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1247775"/>
          <a:ext cx="1127858" cy="466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15</xdr:row>
          <xdr:rowOff>38100</xdr:rowOff>
        </xdr:from>
        <xdr:to>
          <xdr:col>17</xdr:col>
          <xdr:colOff>438150</xdr:colOff>
          <xdr:row>15</xdr:row>
          <xdr:rowOff>371475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104775</xdr:colOff>
          <xdr:row>29</xdr:row>
          <xdr:rowOff>85725</xdr:rowOff>
        </xdr:from>
        <xdr:to>
          <xdr:col>16</xdr:col>
          <xdr:colOff>28575</xdr:colOff>
          <xdr:row>30</xdr:row>
          <xdr:rowOff>19050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IN" sz="1100" b="1" i="0" u="none" strike="noStrike" baseline="0">
                  <a:solidFill>
                    <a:srgbClr val="FF0000"/>
                  </a:solidFill>
                  <a:latin typeface="Calibri"/>
                  <a:ea typeface="Calibri"/>
                  <a:cs typeface="Calibri"/>
                </a:rPr>
                <a:t>GENERATE SALARY SHEET</a:t>
              </a:r>
            </a:p>
          </xdr:txBody>
        </xdr:sp>
        <xdr:clientData fPrintsWithSheet="0"/>
      </xdr:twoCellAnchor>
    </mc:Choice>
    <mc:Fallback/>
  </mc:AlternateContent>
  <xdr:twoCellAnchor>
    <xdr:from>
      <xdr:col>26</xdr:col>
      <xdr:colOff>523875</xdr:colOff>
      <xdr:row>23</xdr:row>
      <xdr:rowOff>19050</xdr:rowOff>
    </xdr:from>
    <xdr:to>
      <xdr:col>29</xdr:col>
      <xdr:colOff>561975</xdr:colOff>
      <xdr:row>32</xdr:row>
      <xdr:rowOff>190500</xdr:rowOff>
    </xdr:to>
    <xdr:sp macro="" textlink="">
      <xdr:nvSpPr>
        <xdr:cNvPr id="5" name="Speech Bubble: Oval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353800" y="6724650"/>
          <a:ext cx="1866900" cy="2324100"/>
        </a:xfrm>
        <a:prstGeom prst="wedgeEllipseCallout">
          <a:avLst>
            <a:gd name="adj1" fmla="val -275403"/>
            <a:gd name="adj2" fmla="val 17531"/>
          </a:avLst>
        </a:prstGeom>
        <a:solidFill>
          <a:schemeClr val="accent1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>
              <a:solidFill>
                <a:sysClr val="windowText" lastClr="000000"/>
              </a:solidFill>
              <a:latin typeface="DevLys 010" pitchFamily="2" charset="0"/>
            </a:rPr>
            <a:t>d`i;k lsysjh</a:t>
          </a:r>
          <a:r>
            <a:rPr lang="en-IN" sz="1200" baseline="0">
              <a:solidFill>
                <a:sysClr val="windowText" lastClr="000000"/>
              </a:solidFill>
              <a:latin typeface="DevLys 010" pitchFamily="2" charset="0"/>
            </a:rPr>
            <a:t> 'khV tujsV djus ds fy, </a:t>
          </a:r>
          <a:r>
            <a:rPr lang="en-IN" sz="1200" baseline="0">
              <a:solidFill>
                <a:sysClr val="windowText" lastClr="000000"/>
              </a:solidFill>
              <a:latin typeface="+mn-lt"/>
            </a:rPr>
            <a:t>'GENERATE SALARY SHEET ' </a:t>
          </a:r>
          <a:r>
            <a:rPr lang="en-IN" sz="1200" baseline="0">
              <a:solidFill>
                <a:sysClr val="windowText" lastClr="000000"/>
              </a:solidFill>
              <a:latin typeface="DevLys 010" pitchFamily="2" charset="0"/>
            </a:rPr>
            <a:t>cVu dks vius ekml ls fDyd djsaA vkSj tkudkjh ds fy, </a:t>
          </a:r>
          <a:r>
            <a:rPr lang="en-IN" sz="1200" baseline="0">
              <a:solidFill>
                <a:sysClr val="windowText" lastClr="000000"/>
              </a:solidFill>
              <a:latin typeface="+mn-lt"/>
            </a:rPr>
            <a:t>HOW TO USE' </a:t>
          </a:r>
          <a:r>
            <a:rPr lang="en-IN" sz="1200" baseline="0">
              <a:solidFill>
                <a:sysClr val="windowText" lastClr="000000"/>
              </a:solidFill>
              <a:latin typeface="DevLys 010" pitchFamily="2" charset="0"/>
            </a:rPr>
            <a:t>i&lt;saA</a:t>
          </a:r>
          <a:endParaRPr lang="en-IN" sz="1200">
            <a:solidFill>
              <a:sysClr val="windowText" lastClr="000000"/>
            </a:solidFill>
            <a:latin typeface="DevLys 01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7</xdr:row>
          <xdr:rowOff>0</xdr:rowOff>
        </xdr:from>
        <xdr:to>
          <xdr:col>10</xdr:col>
          <xdr:colOff>609600</xdr:colOff>
          <xdr:row>8</xdr:row>
          <xdr:rowOff>180975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FF00" mc:Ignorable="a14" a14:legacySpreadsheetColorIndex="11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New Slab Tax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9525</xdr:rowOff>
        </xdr:from>
        <xdr:to>
          <xdr:col>9</xdr:col>
          <xdr:colOff>0</xdr:colOff>
          <xdr:row>8</xdr:row>
          <xdr:rowOff>180975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339966" mc:Ignorable="a14" a14:legacySpreadsheetColorIndex="57">
                <a:alpha val="46001"/>
              </a:srgbClr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Old SlabTax</a:t>
              </a:r>
            </a:p>
          </xdr:txBody>
        </xdr:sp>
        <xdr:clientData/>
      </xdr:twoCellAnchor>
    </mc:Choice>
    <mc:Fallback/>
  </mc:AlternateContent>
  <xdr:twoCellAnchor>
    <xdr:from>
      <xdr:col>7</xdr:col>
      <xdr:colOff>104776</xdr:colOff>
      <xdr:row>11</xdr:row>
      <xdr:rowOff>66675</xdr:rowOff>
    </xdr:from>
    <xdr:to>
      <xdr:col>7</xdr:col>
      <xdr:colOff>523876</xdr:colOff>
      <xdr:row>16</xdr:row>
      <xdr:rowOff>28575</xdr:rowOff>
    </xdr:to>
    <xdr:sp macro="" textlink="">
      <xdr:nvSpPr>
        <xdr:cNvPr id="4" name="Arrow: 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677151" y="2295525"/>
          <a:ext cx="419100" cy="914400"/>
        </a:xfrm>
        <a:prstGeom prst="upArrow">
          <a:avLst/>
        </a:prstGeom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25</xdr:row>
      <xdr:rowOff>95250</xdr:rowOff>
    </xdr:from>
    <xdr:to>
      <xdr:col>14</xdr:col>
      <xdr:colOff>600075</xdr:colOff>
      <xdr:row>27</xdr:row>
      <xdr:rowOff>65532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172200" y="6486525"/>
          <a:ext cx="628650" cy="484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15</xdr:col>
      <xdr:colOff>314325</xdr:colOff>
      <xdr:row>13</xdr:row>
      <xdr:rowOff>266700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885825"/>
          <a:ext cx="2143125" cy="2590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4</xdr:row>
      <xdr:rowOff>161925</xdr:rowOff>
    </xdr:from>
    <xdr:to>
      <xdr:col>22</xdr:col>
      <xdr:colOff>9524</xdr:colOff>
      <xdr:row>60</xdr:row>
      <xdr:rowOff>78486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248650" y="866775"/>
          <a:ext cx="4248149" cy="51553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rl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6-09-2021\Desktop\INCOMETAX%202018-19\GHANSHYAM%20SHARM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from the developer's desk"/>
      <sheetName val="profile"/>
      <sheetName val="control"/>
      <sheetName val="Partial HRA"/>
      <sheetName val="salary"/>
      <sheetName val="HRA ex."/>
      <sheetName val="I T cal."/>
      <sheetName val="Form 16"/>
      <sheetName val="nsc int"/>
      <sheetName val="us89(1)form"/>
      <sheetName val="form10E"/>
      <sheetName val="control10E"/>
      <sheetName val="GHANSHYAM SHARMA"/>
    </sheetNames>
    <sheetDataSet>
      <sheetData sheetId="0" refreshError="1"/>
      <sheetData sheetId="1" refreshError="1"/>
      <sheetData sheetId="2" refreshError="1"/>
      <sheetData sheetId="3" refreshError="1">
        <row r="4">
          <cell r="H4" t="b">
            <v>0</v>
          </cell>
        </row>
      </sheetData>
      <sheetData sheetId="4" refreshError="1"/>
      <sheetData sheetId="5" refreshError="1">
        <row r="25">
          <cell r="E25">
            <v>30644</v>
          </cell>
          <cell r="L25">
            <v>96000</v>
          </cell>
        </row>
      </sheetData>
      <sheetData sheetId="6" refreshError="1"/>
      <sheetData sheetId="7" refreshError="1">
        <row r="4">
          <cell r="E4">
            <v>756709</v>
          </cell>
        </row>
        <row r="5">
          <cell r="D5">
            <v>0</v>
          </cell>
        </row>
        <row r="6">
          <cell r="C6" t="str">
            <v xml:space="preserve">US10 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8A975-0901-4D76-92F3-CE152A726943}">
  <sheetPr codeName="Sheet1">
    <tabColor rgb="FF00B050"/>
  </sheetPr>
  <dimension ref="A1:AK30"/>
  <sheetViews>
    <sheetView tabSelected="1" zoomScaleNormal="100" workbookViewId="0">
      <selection activeCell="W11" sqref="W11"/>
    </sheetView>
  </sheetViews>
  <sheetFormatPr defaultRowHeight="15"/>
  <cols>
    <col min="1" max="1" width="8.28515625" style="3" customWidth="1"/>
    <col min="2" max="2" width="9" style="3" customWidth="1"/>
    <col min="3" max="3" width="9.5703125" style="3" customWidth="1"/>
    <col min="4" max="5" width="9.140625" style="3"/>
    <col min="6" max="6" width="10.28515625" style="3" customWidth="1"/>
    <col min="7" max="8" width="9.140625" style="3"/>
    <col min="9" max="9" width="11.140625" style="3" customWidth="1"/>
    <col min="10" max="11" width="9.140625" style="3"/>
    <col min="12" max="12" width="12.28515625" style="3" customWidth="1"/>
    <col min="13" max="18" width="9.140625" style="3"/>
    <col min="19" max="20" width="9.140625" style="3" hidden="1" customWidth="1"/>
    <col min="21" max="21" width="9.140625" style="3" customWidth="1"/>
    <col min="22" max="26" width="9.140625" style="3"/>
    <col min="27" max="28" width="9.140625" style="3" hidden="1" customWidth="1"/>
    <col min="29" max="30" width="0" style="3" hidden="1" customWidth="1"/>
    <col min="31" max="31" width="9.140625" style="3" hidden="1" customWidth="1"/>
    <col min="32" max="32" width="0" style="3" hidden="1" customWidth="1"/>
    <col min="33" max="37" width="9.140625" style="3" hidden="1" customWidth="1"/>
    <col min="38" max="16384" width="9.140625" style="3"/>
  </cols>
  <sheetData>
    <row r="1" spans="1:37" ht="18.75" customHeight="1">
      <c r="A1" s="326" t="s">
        <v>469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8"/>
    </row>
    <row r="2" spans="1:37" ht="33.75" customHeight="1" thickBot="1">
      <c r="A2" s="329" t="s">
        <v>118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1"/>
      <c r="O2" s="301"/>
      <c r="P2" s="302"/>
      <c r="Q2" s="302"/>
      <c r="R2" s="302"/>
    </row>
    <row r="3" spans="1:37" ht="20.25" customHeight="1">
      <c r="A3" s="326" t="s">
        <v>119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8"/>
      <c r="M3" s="361" t="s">
        <v>142</v>
      </c>
      <c r="N3" s="362"/>
      <c r="O3" s="362"/>
      <c r="P3" s="362"/>
      <c r="Q3" s="362"/>
      <c r="R3" s="362"/>
      <c r="S3" s="362"/>
      <c r="T3" s="362"/>
      <c r="U3" s="362"/>
      <c r="V3" s="363"/>
      <c r="AH3" s="3">
        <v>1</v>
      </c>
      <c r="AI3" s="3">
        <v>3</v>
      </c>
    </row>
    <row r="4" spans="1:37" ht="19.5" customHeight="1" thickBot="1">
      <c r="A4" s="300" t="s">
        <v>0</v>
      </c>
      <c r="B4" s="300"/>
      <c r="C4" s="306" t="s">
        <v>451</v>
      </c>
      <c r="D4" s="307"/>
      <c r="E4" s="307"/>
      <c r="F4" s="308"/>
      <c r="G4" s="299" t="s">
        <v>123</v>
      </c>
      <c r="H4" s="300"/>
      <c r="I4" s="332"/>
      <c r="J4" s="332"/>
      <c r="K4" s="332"/>
      <c r="L4" s="333"/>
      <c r="M4" s="364" t="s">
        <v>454</v>
      </c>
      <c r="N4" s="365"/>
      <c r="O4" s="365"/>
      <c r="P4" s="365"/>
      <c r="Q4" s="365"/>
      <c r="R4" s="365"/>
      <c r="S4" s="365"/>
      <c r="T4" s="365"/>
      <c r="U4" s="365"/>
      <c r="V4" s="366"/>
      <c r="AH4" s="3">
        <v>2</v>
      </c>
      <c r="AI4" s="3">
        <v>4</v>
      </c>
    </row>
    <row r="5" spans="1:37" ht="17.25" customHeight="1" thickBot="1">
      <c r="A5" s="300" t="s">
        <v>120</v>
      </c>
      <c r="B5" s="300"/>
      <c r="C5" s="306"/>
      <c r="D5" s="307"/>
      <c r="E5" s="307"/>
      <c r="F5" s="308"/>
      <c r="G5" s="299" t="s">
        <v>124</v>
      </c>
      <c r="H5" s="300"/>
      <c r="I5" s="305"/>
      <c r="J5" s="305"/>
      <c r="K5" s="305"/>
      <c r="L5" s="305"/>
      <c r="M5" s="372"/>
      <c r="N5" s="373"/>
      <c r="O5" s="373"/>
      <c r="AG5" s="3" t="s">
        <v>448</v>
      </c>
      <c r="AH5" s="3">
        <v>3</v>
      </c>
      <c r="AI5" s="3">
        <v>5</v>
      </c>
    </row>
    <row r="6" spans="1:37" ht="18" customHeight="1" thickBot="1">
      <c r="A6" s="304" t="s">
        <v>121</v>
      </c>
      <c r="B6" s="299"/>
      <c r="C6" s="306"/>
      <c r="D6" s="307"/>
      <c r="E6" s="307"/>
      <c r="F6" s="308"/>
      <c r="G6" s="304" t="s">
        <v>350</v>
      </c>
      <c r="H6" s="299"/>
      <c r="I6" s="313"/>
      <c r="J6" s="314"/>
      <c r="K6" s="4" t="s">
        <v>352</v>
      </c>
      <c r="L6" s="9"/>
      <c r="M6" s="370"/>
      <c r="N6" s="371"/>
      <c r="O6" s="367" t="s">
        <v>64</v>
      </c>
      <c r="P6" s="368"/>
      <c r="Q6" s="368"/>
      <c r="R6" s="369"/>
      <c r="AG6" s="3" t="s">
        <v>64</v>
      </c>
      <c r="AH6" s="3">
        <v>4</v>
      </c>
      <c r="AI6" s="3">
        <v>6</v>
      </c>
    </row>
    <row r="7" spans="1:37" ht="18.75" customHeight="1">
      <c r="A7" s="300" t="s">
        <v>122</v>
      </c>
      <c r="B7" s="300"/>
      <c r="C7" s="315"/>
      <c r="D7" s="316"/>
      <c r="E7" s="316"/>
      <c r="F7" s="316"/>
      <c r="G7" s="304" t="s">
        <v>351</v>
      </c>
      <c r="H7" s="299"/>
      <c r="I7" s="313"/>
      <c r="J7" s="314"/>
      <c r="K7" s="4" t="s">
        <v>353</v>
      </c>
      <c r="L7" s="9"/>
      <c r="S7" s="73">
        <v>1</v>
      </c>
      <c r="T7" s="73">
        <v>1</v>
      </c>
      <c r="U7" s="108"/>
      <c r="V7" s="108"/>
      <c r="AA7" s="108" t="s">
        <v>214</v>
      </c>
      <c r="AB7" s="108"/>
      <c r="AG7" s="3" t="s">
        <v>148</v>
      </c>
      <c r="AH7" s="3">
        <v>5</v>
      </c>
      <c r="AI7" s="3">
        <v>7</v>
      </c>
    </row>
    <row r="8" spans="1:37" ht="18.75" customHeight="1" thickBot="1">
      <c r="A8" s="355" t="s">
        <v>362</v>
      </c>
      <c r="B8" s="356"/>
      <c r="C8" s="356"/>
      <c r="D8" s="356"/>
      <c r="E8" s="356"/>
      <c r="F8" s="357"/>
      <c r="G8" s="358" t="s">
        <v>453</v>
      </c>
      <c r="H8" s="359"/>
      <c r="I8" s="359"/>
      <c r="J8" s="359"/>
      <c r="K8" s="359"/>
      <c r="L8" s="360"/>
      <c r="S8" s="73"/>
      <c r="T8" s="73"/>
      <c r="U8" s="108"/>
      <c r="V8" s="108"/>
      <c r="AA8" s="108"/>
      <c r="AB8" s="108"/>
    </row>
    <row r="9" spans="1:37" ht="21" customHeight="1" thickBot="1">
      <c r="A9" s="310" t="s">
        <v>1</v>
      </c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2"/>
      <c r="O9" s="352" t="s">
        <v>209</v>
      </c>
      <c r="P9" s="353"/>
      <c r="Q9" s="353"/>
      <c r="R9" s="354"/>
      <c r="S9" s="73"/>
      <c r="T9" s="73">
        <v>2</v>
      </c>
      <c r="U9" s="108"/>
      <c r="V9" s="108"/>
      <c r="AA9" s="108" t="s">
        <v>215</v>
      </c>
      <c r="AB9" s="108"/>
      <c r="AG9" s="3" t="s">
        <v>149</v>
      </c>
      <c r="AH9" s="3">
        <v>6</v>
      </c>
      <c r="AI9" s="3">
        <v>8</v>
      </c>
    </row>
    <row r="10" spans="1:37" ht="38.25" customHeight="1" thickBot="1">
      <c r="A10" s="337" t="s">
        <v>470</v>
      </c>
      <c r="B10" s="338"/>
      <c r="C10" s="339">
        <v>39100</v>
      </c>
      <c r="D10" s="340"/>
      <c r="E10" s="341" t="s">
        <v>125</v>
      </c>
      <c r="F10" s="342"/>
      <c r="G10" s="342"/>
      <c r="H10" s="343"/>
      <c r="I10" s="6"/>
      <c r="J10" s="317" t="s">
        <v>126</v>
      </c>
      <c r="K10" s="318"/>
      <c r="L10" s="7"/>
      <c r="O10" s="349"/>
      <c r="P10" s="350"/>
      <c r="Q10" s="350"/>
      <c r="R10" s="351"/>
      <c r="AH10" s="3">
        <v>7</v>
      </c>
      <c r="AI10" s="3">
        <v>9</v>
      </c>
    </row>
    <row r="11" spans="1:37" ht="57.75" customHeight="1">
      <c r="A11" s="334" t="s">
        <v>208</v>
      </c>
      <c r="B11" s="334"/>
      <c r="C11" s="335">
        <v>11</v>
      </c>
      <c r="D11" s="336"/>
      <c r="E11" s="334" t="s">
        <v>127</v>
      </c>
      <c r="F11" s="345"/>
      <c r="G11" s="346" t="s">
        <v>148</v>
      </c>
      <c r="H11" s="346"/>
      <c r="I11" s="344" t="s">
        <v>2</v>
      </c>
      <c r="J11" s="344"/>
      <c r="K11" s="344"/>
      <c r="L11" s="8">
        <v>12</v>
      </c>
      <c r="P11" s="104"/>
      <c r="AH11" s="3">
        <v>8</v>
      </c>
      <c r="AI11" s="3">
        <v>10</v>
      </c>
    </row>
    <row r="12" spans="1:37" ht="18.75" customHeight="1">
      <c r="A12" s="310" t="s">
        <v>3</v>
      </c>
      <c r="B12" s="311"/>
      <c r="C12" s="311"/>
      <c r="D12" s="311"/>
      <c r="E12" s="311"/>
      <c r="F12" s="311"/>
      <c r="G12" s="311"/>
      <c r="H12" s="311"/>
      <c r="I12" s="311"/>
      <c r="J12" s="311"/>
      <c r="K12" s="311"/>
      <c r="L12" s="312"/>
      <c r="O12" s="348"/>
      <c r="P12" s="348"/>
      <c r="Q12" s="348"/>
      <c r="R12" s="348"/>
      <c r="AH12" s="3">
        <v>9</v>
      </c>
      <c r="AI12" s="3">
        <v>11</v>
      </c>
    </row>
    <row r="13" spans="1:37" ht="20.25" customHeight="1">
      <c r="A13" s="281" t="s">
        <v>128</v>
      </c>
      <c r="B13" s="281"/>
      <c r="C13" s="281"/>
      <c r="D13" s="281"/>
      <c r="E13" s="347"/>
      <c r="F13" s="347"/>
      <c r="G13" s="281" t="s">
        <v>129</v>
      </c>
      <c r="H13" s="281"/>
      <c r="I13" s="9"/>
      <c r="J13" s="281" t="s">
        <v>130</v>
      </c>
      <c r="K13" s="281"/>
      <c r="L13" s="9"/>
      <c r="O13" s="348"/>
      <c r="P13" s="348"/>
      <c r="Q13" s="348"/>
      <c r="R13" s="348"/>
      <c r="AH13" s="3">
        <v>10</v>
      </c>
      <c r="AI13" s="3">
        <v>12</v>
      </c>
    </row>
    <row r="14" spans="1:37" ht="20.25" customHeight="1">
      <c r="A14" s="303" t="s">
        <v>136</v>
      </c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O14" s="115"/>
      <c r="P14" s="115"/>
      <c r="AH14" s="3">
        <v>11</v>
      </c>
      <c r="AI14" s="3">
        <v>1</v>
      </c>
    </row>
    <row r="15" spans="1:37" ht="32.25" customHeight="1" thickBot="1">
      <c r="A15" s="286" t="s">
        <v>199</v>
      </c>
      <c r="B15" s="287"/>
      <c r="C15" s="10"/>
      <c r="D15" s="281" t="s">
        <v>131</v>
      </c>
      <c r="E15" s="281"/>
      <c r="F15" s="10">
        <v>44000</v>
      </c>
      <c r="G15" s="281" t="s">
        <v>132</v>
      </c>
      <c r="H15" s="281"/>
      <c r="I15" s="10"/>
      <c r="J15" s="281" t="s">
        <v>5</v>
      </c>
      <c r="K15" s="281"/>
      <c r="L15" s="10"/>
      <c r="M15" s="270"/>
      <c r="N15" s="270"/>
      <c r="O15" s="270"/>
      <c r="P15" s="271"/>
      <c r="Q15" s="271"/>
      <c r="R15" s="271"/>
      <c r="S15" s="73">
        <v>2</v>
      </c>
      <c r="T15" s="235" t="s">
        <v>148</v>
      </c>
      <c r="AH15" s="3">
        <v>12</v>
      </c>
      <c r="AI15" s="3">
        <v>2</v>
      </c>
      <c r="AK15" s="74" t="s">
        <v>148</v>
      </c>
    </row>
    <row r="16" spans="1:37" ht="32.25" customHeight="1" thickBot="1">
      <c r="A16" s="281" t="s">
        <v>133</v>
      </c>
      <c r="B16" s="281"/>
      <c r="C16" s="11"/>
      <c r="D16" s="309" t="s">
        <v>134</v>
      </c>
      <c r="E16" s="309"/>
      <c r="F16" s="10"/>
      <c r="G16" s="309" t="s">
        <v>135</v>
      </c>
      <c r="H16" s="309"/>
      <c r="I16" s="10"/>
      <c r="J16" s="309" t="s">
        <v>4</v>
      </c>
      <c r="K16" s="309"/>
      <c r="L16" s="10"/>
      <c r="M16" s="291" t="s">
        <v>437</v>
      </c>
      <c r="N16" s="292"/>
      <c r="O16" s="293"/>
      <c r="P16" s="290"/>
      <c r="Q16" s="290"/>
      <c r="R16" s="290"/>
      <c r="S16" s="73"/>
      <c r="T16" s="235" t="s">
        <v>149</v>
      </c>
      <c r="AK16" s="74" t="s">
        <v>149</v>
      </c>
    </row>
    <row r="17" spans="1:31" ht="32.25" customHeight="1">
      <c r="A17" s="281" t="s">
        <v>10</v>
      </c>
      <c r="B17" s="281"/>
      <c r="C17" s="11"/>
      <c r="D17" s="281" t="s">
        <v>11</v>
      </c>
      <c r="E17" s="281"/>
      <c r="F17" s="10"/>
      <c r="G17" s="281" t="s">
        <v>12</v>
      </c>
      <c r="H17" s="281"/>
      <c r="I17" s="10"/>
      <c r="J17" s="281" t="s">
        <v>137</v>
      </c>
      <c r="K17" s="281"/>
      <c r="L17" s="10"/>
      <c r="Q17" s="198"/>
    </row>
    <row r="18" spans="1:31" ht="25.5" customHeight="1">
      <c r="A18" s="286" t="s">
        <v>170</v>
      </c>
      <c r="B18" s="287"/>
      <c r="C18" s="11"/>
      <c r="D18" s="317" t="s">
        <v>197</v>
      </c>
      <c r="E18" s="318"/>
      <c r="F18" s="10"/>
      <c r="G18" s="317" t="s">
        <v>91</v>
      </c>
      <c r="H18" s="318"/>
      <c r="I18" s="10"/>
      <c r="J18" s="286" t="s">
        <v>198</v>
      </c>
      <c r="K18" s="287"/>
      <c r="L18" s="10"/>
    </row>
    <row r="19" spans="1:31" ht="25.5" customHeight="1">
      <c r="A19" s="322" t="s">
        <v>150</v>
      </c>
      <c r="B19" s="323"/>
      <c r="C19" s="106"/>
      <c r="D19" s="286" t="s">
        <v>153</v>
      </c>
      <c r="E19" s="287"/>
      <c r="F19" s="10"/>
      <c r="G19" s="286" t="s">
        <v>154</v>
      </c>
      <c r="H19" s="287"/>
      <c r="I19" s="10"/>
      <c r="J19" s="286" t="s">
        <v>155</v>
      </c>
      <c r="K19" s="287"/>
      <c r="L19" s="10"/>
      <c r="P19" s="121"/>
    </row>
    <row r="20" spans="1:31" ht="31.5" customHeight="1">
      <c r="A20" s="286" t="s">
        <v>8</v>
      </c>
      <c r="B20" s="287"/>
      <c r="C20" s="11"/>
      <c r="D20" s="286" t="s">
        <v>7</v>
      </c>
      <c r="E20" s="287"/>
      <c r="F20" s="10"/>
      <c r="G20" s="286" t="s">
        <v>217</v>
      </c>
      <c r="H20" s="287"/>
      <c r="I20" s="10"/>
      <c r="J20" s="288" t="s">
        <v>218</v>
      </c>
      <c r="K20" s="289"/>
      <c r="L20" s="10"/>
    </row>
    <row r="21" spans="1:31" ht="25.5" hidden="1" customHeight="1">
      <c r="A21" s="107" t="s">
        <v>14</v>
      </c>
      <c r="B21" s="107" t="s">
        <v>15</v>
      </c>
      <c r="C21" s="107" t="s">
        <v>16</v>
      </c>
      <c r="D21" s="5" t="s">
        <v>17</v>
      </c>
      <c r="E21" s="5" t="s">
        <v>18</v>
      </c>
      <c r="F21" s="5" t="s">
        <v>19</v>
      </c>
      <c r="G21" s="5" t="s">
        <v>138</v>
      </c>
      <c r="H21" s="5" t="s">
        <v>20</v>
      </c>
      <c r="I21" s="5" t="s">
        <v>21</v>
      </c>
      <c r="J21" s="5" t="s">
        <v>22</v>
      </c>
      <c r="K21" s="5" t="s">
        <v>23</v>
      </c>
      <c r="L21" s="5" t="s">
        <v>24</v>
      </c>
    </row>
    <row r="22" spans="1:31" ht="25.5" hidden="1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</row>
    <row r="23" spans="1:31" ht="18.75" customHeight="1">
      <c r="A23" s="319" t="s">
        <v>13</v>
      </c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1"/>
    </row>
    <row r="24" spans="1:31" ht="24.75" customHeight="1">
      <c r="A24" s="5" t="s">
        <v>14</v>
      </c>
      <c r="B24" s="5" t="s">
        <v>15</v>
      </c>
      <c r="C24" s="5" t="s">
        <v>16</v>
      </c>
      <c r="D24" s="5" t="s">
        <v>17</v>
      </c>
      <c r="E24" s="5" t="s">
        <v>18</v>
      </c>
      <c r="F24" s="5" t="s">
        <v>19</v>
      </c>
      <c r="G24" s="5" t="s">
        <v>138</v>
      </c>
      <c r="H24" s="5" t="s">
        <v>20</v>
      </c>
      <c r="I24" s="5" t="s">
        <v>21</v>
      </c>
      <c r="J24" s="5" t="s">
        <v>22</v>
      </c>
      <c r="K24" s="5" t="s">
        <v>23</v>
      </c>
      <c r="L24" s="5" t="s">
        <v>24</v>
      </c>
    </row>
    <row r="25" spans="1:31" ht="24.75" customHeight="1">
      <c r="A25" s="11">
        <v>12000</v>
      </c>
      <c r="B25" s="269">
        <v>12000</v>
      </c>
      <c r="C25" s="269">
        <v>12000</v>
      </c>
      <c r="D25" s="269">
        <v>12000</v>
      </c>
      <c r="E25" s="269">
        <v>12000</v>
      </c>
      <c r="F25" s="269">
        <v>12000</v>
      </c>
      <c r="G25" s="269">
        <v>12000</v>
      </c>
      <c r="H25" s="11">
        <v>12000</v>
      </c>
      <c r="I25" s="11"/>
      <c r="J25" s="11"/>
      <c r="K25" s="11"/>
      <c r="L25" s="11"/>
    </row>
    <row r="26" spans="1:31" ht="17.25" customHeight="1">
      <c r="A26" s="304" t="s">
        <v>139</v>
      </c>
      <c r="B26" s="299"/>
      <c r="C26" s="84">
        <f>Salary!U22</f>
        <v>0</v>
      </c>
      <c r="D26" s="284" t="s">
        <v>354</v>
      </c>
      <c r="E26" s="282"/>
      <c r="F26" s="284" t="s">
        <v>355</v>
      </c>
      <c r="G26" s="324"/>
      <c r="H26" s="284" t="s">
        <v>356</v>
      </c>
      <c r="I26" s="282"/>
      <c r="J26" s="284" t="s">
        <v>357</v>
      </c>
      <c r="K26" s="272"/>
      <c r="L26" s="273"/>
    </row>
    <row r="27" spans="1:31">
      <c r="A27" s="304" t="s">
        <v>140</v>
      </c>
      <c r="B27" s="299"/>
      <c r="C27" s="84">
        <f>Salary!U23</f>
        <v>0</v>
      </c>
      <c r="D27" s="285"/>
      <c r="E27" s="283"/>
      <c r="F27" s="285"/>
      <c r="G27" s="325"/>
      <c r="H27" s="285"/>
      <c r="I27" s="283"/>
      <c r="J27" s="285"/>
      <c r="K27" s="274"/>
      <c r="L27" s="275"/>
    </row>
    <row r="28" spans="1:31" ht="20.25" customHeight="1">
      <c r="A28" s="304" t="s">
        <v>141</v>
      </c>
      <c r="B28" s="299"/>
      <c r="C28" s="84">
        <f>Salary!U24</f>
        <v>0</v>
      </c>
      <c r="D28" s="276" t="s">
        <v>360</v>
      </c>
      <c r="E28" s="277"/>
      <c r="F28" s="278"/>
      <c r="G28" s="279">
        <f>A25+B25+C25+D25+E25+F25+G25+H25+I25+J25+K25+L25+C26+C27+C28</f>
        <v>96000</v>
      </c>
      <c r="H28" s="280"/>
      <c r="I28" s="276" t="s">
        <v>361</v>
      </c>
      <c r="J28" s="277"/>
      <c r="K28" s="278"/>
      <c r="L28" s="202">
        <f>AE28-G28</f>
        <v>-71216</v>
      </c>
      <c r="AE28" s="116">
        <f>'IT calculation'!E51</f>
        <v>24784</v>
      </c>
    </row>
    <row r="29" spans="1:31" ht="61.5" customHeight="1">
      <c r="A29" s="296" t="s">
        <v>359</v>
      </c>
      <c r="B29" s="297"/>
      <c r="C29" s="298"/>
      <c r="D29" s="201" t="s">
        <v>354</v>
      </c>
      <c r="E29" s="203"/>
      <c r="F29" s="201" t="s">
        <v>355</v>
      </c>
      <c r="G29" s="203"/>
      <c r="H29" s="201" t="s">
        <v>356</v>
      </c>
      <c r="I29" s="203"/>
      <c r="J29" s="201" t="s">
        <v>357</v>
      </c>
      <c r="K29" s="294"/>
      <c r="L29" s="295"/>
    </row>
    <row r="30" spans="1:31">
      <c r="D30" s="199"/>
      <c r="E30" s="115"/>
      <c r="F30" s="199"/>
      <c r="G30" s="115"/>
      <c r="H30" s="199"/>
      <c r="I30" s="115"/>
      <c r="J30" s="199"/>
    </row>
  </sheetData>
  <sheetProtection algorithmName="SHA-512" hashValue="zI0ZybORjZ8MKrLK0Xwq2BsXDbB2T5bSUOPaWNBWO9WSYbzzVYCdSCvbkPh8PNzF98VM9YxknbQP4PsEtV3teg==" saltValue="OoaBcsBLePg8FgasoqK9Lg==" spinCount="100000" sheet="1" objects="1" scenarios="1"/>
  <mergeCells count="91">
    <mergeCell ref="M3:V3"/>
    <mergeCell ref="M4:V4"/>
    <mergeCell ref="O6:R6"/>
    <mergeCell ref="M6:N6"/>
    <mergeCell ref="M5:O5"/>
    <mergeCell ref="O12:R13"/>
    <mergeCell ref="O10:R10"/>
    <mergeCell ref="O9:R9"/>
    <mergeCell ref="A8:F8"/>
    <mergeCell ref="G8:L8"/>
    <mergeCell ref="A17:B17"/>
    <mergeCell ref="D17:E17"/>
    <mergeCell ref="G17:H17"/>
    <mergeCell ref="J10:K10"/>
    <mergeCell ref="A11:B11"/>
    <mergeCell ref="C11:D11"/>
    <mergeCell ref="A10:B10"/>
    <mergeCell ref="C10:D10"/>
    <mergeCell ref="E10:H10"/>
    <mergeCell ref="G13:H13"/>
    <mergeCell ref="I11:K11"/>
    <mergeCell ref="A12:L12"/>
    <mergeCell ref="E11:F11"/>
    <mergeCell ref="G11:H11"/>
    <mergeCell ref="A13:D13"/>
    <mergeCell ref="E13:F13"/>
    <mergeCell ref="A1:L1"/>
    <mergeCell ref="A2:L2"/>
    <mergeCell ref="A3:L3"/>
    <mergeCell ref="A4:B4"/>
    <mergeCell ref="C4:F4"/>
    <mergeCell ref="I4:L4"/>
    <mergeCell ref="G4:H4"/>
    <mergeCell ref="A28:B28"/>
    <mergeCell ref="A18:B18"/>
    <mergeCell ref="D18:E18"/>
    <mergeCell ref="G18:H18"/>
    <mergeCell ref="A23:L23"/>
    <mergeCell ref="A26:B26"/>
    <mergeCell ref="A27:B27"/>
    <mergeCell ref="D19:E19"/>
    <mergeCell ref="G19:H19"/>
    <mergeCell ref="A20:B20"/>
    <mergeCell ref="A19:B19"/>
    <mergeCell ref="D26:D27"/>
    <mergeCell ref="E26:E27"/>
    <mergeCell ref="F26:F27"/>
    <mergeCell ref="G26:G27"/>
    <mergeCell ref="H26:H27"/>
    <mergeCell ref="C6:F6"/>
    <mergeCell ref="A7:B7"/>
    <mergeCell ref="A16:B16"/>
    <mergeCell ref="D16:E16"/>
    <mergeCell ref="G16:H16"/>
    <mergeCell ref="A9:L9"/>
    <mergeCell ref="I6:J6"/>
    <mergeCell ref="I7:J7"/>
    <mergeCell ref="J16:K16"/>
    <mergeCell ref="C7:F7"/>
    <mergeCell ref="K29:L29"/>
    <mergeCell ref="A29:C29"/>
    <mergeCell ref="G5:H5"/>
    <mergeCell ref="O2:R2"/>
    <mergeCell ref="A14:L14"/>
    <mergeCell ref="A15:B15"/>
    <mergeCell ref="D15:E15"/>
    <mergeCell ref="G15:H15"/>
    <mergeCell ref="J15:K15"/>
    <mergeCell ref="G6:H6"/>
    <mergeCell ref="G7:H7"/>
    <mergeCell ref="I5:L5"/>
    <mergeCell ref="J13:K13"/>
    <mergeCell ref="A5:B5"/>
    <mergeCell ref="C5:F5"/>
    <mergeCell ref="A6:B6"/>
    <mergeCell ref="M15:O15"/>
    <mergeCell ref="P15:R15"/>
    <mergeCell ref="K26:L27"/>
    <mergeCell ref="D28:F28"/>
    <mergeCell ref="I28:K28"/>
    <mergeCell ref="G28:H28"/>
    <mergeCell ref="J17:K17"/>
    <mergeCell ref="I26:I27"/>
    <mergeCell ref="J26:J27"/>
    <mergeCell ref="J19:K19"/>
    <mergeCell ref="J18:K18"/>
    <mergeCell ref="D20:E20"/>
    <mergeCell ref="G20:H20"/>
    <mergeCell ref="J20:K20"/>
    <mergeCell ref="P16:R16"/>
    <mergeCell ref="M16:O16"/>
  </mergeCells>
  <phoneticPr fontId="25" type="noConversion"/>
  <dataValidations count="5">
    <dataValidation type="list" allowBlank="1" showInputMessage="1" showErrorMessage="1" sqref="L11" xr:uid="{D8CDE0B9-4059-4987-BF5C-92730957A3F6}">
      <formula1>$AH$3:$AH$15</formula1>
    </dataValidation>
    <dataValidation type="list" allowBlank="1" showInputMessage="1" showErrorMessage="1" sqref="O6:R6" xr:uid="{5966C459-0586-40A9-861D-F4541E9FE510}">
      <formula1>$AG$5:$AG$6</formula1>
    </dataValidation>
    <dataValidation type="list" allowBlank="1" showInputMessage="1" showErrorMessage="1" sqref="I10 C11:D11" xr:uid="{C662C76D-652E-4B54-83F8-4E53961E94D2}">
      <formula1>$AI$3:$AI$15</formula1>
    </dataValidation>
    <dataValidation type="list" allowBlank="1" showInputMessage="1" showErrorMessage="1" sqref="G11:H11" xr:uid="{0885600A-D33B-4937-AE41-C7EBA3E6E958}">
      <formula1>$AG$7:$AG$9</formula1>
    </dataValidation>
    <dataValidation type="list" allowBlank="1" showInputMessage="1" showErrorMessage="1" sqref="P15:R15" xr:uid="{68841008-CB98-41A7-AFBD-0773AEC6BFFF}">
      <formula1>$AK$15:$AK$16</formula1>
    </dataValidation>
  </dataValidation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3" r:id="rId4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9</xdr:row>
                    <xdr:rowOff>76200</xdr:rowOff>
                  </from>
                  <to>
                    <xdr:col>17</xdr:col>
                    <xdr:colOff>571500</xdr:colOff>
                    <xdr:row>9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5" name="Drop Down 30">
              <controlPr defaultSize="0" autoLine="0" autoPict="0">
                <anchor moveWithCells="1">
                  <from>
                    <xdr:col>14</xdr:col>
                    <xdr:colOff>95250</xdr:colOff>
                    <xdr:row>1</xdr:row>
                    <xdr:rowOff>66675</xdr:rowOff>
                  </from>
                  <to>
                    <xdr:col>17</xdr:col>
                    <xdr:colOff>504825</xdr:colOff>
                    <xdr:row>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6" name="Drop Down 33">
              <controlPr defaultSize="0" autoLine="0" autoPict="0">
                <anchor moveWithCells="1">
                  <from>
                    <xdr:col>14</xdr:col>
                    <xdr:colOff>47625</xdr:colOff>
                    <xdr:row>11</xdr:row>
                    <xdr:rowOff>66675</xdr:rowOff>
                  </from>
                  <to>
                    <xdr:col>17</xdr:col>
                    <xdr:colOff>581025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" name="Drop Down 36">
              <controlPr locked="0" defaultSize="0" autoLine="0" autoPict="0">
                <anchor moveWithCells="1">
                  <from>
                    <xdr:col>15</xdr:col>
                    <xdr:colOff>200025</xdr:colOff>
                    <xdr:row>15</xdr:row>
                    <xdr:rowOff>38100</xdr:rowOff>
                  </from>
                  <to>
                    <xdr:col>17</xdr:col>
                    <xdr:colOff>438150</xdr:colOff>
                    <xdr:row>15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1856-5C28-445D-982A-47CDBFDA5094}">
  <sheetPr codeName="Sheet2">
    <tabColor rgb="FF92D050"/>
  </sheetPr>
  <dimension ref="A1:Z37"/>
  <sheetViews>
    <sheetView topLeftCell="A10" zoomScaleNormal="100" workbookViewId="0">
      <selection activeCell="AB19" sqref="AB19"/>
    </sheetView>
  </sheetViews>
  <sheetFormatPr defaultRowHeight="15"/>
  <cols>
    <col min="1" max="1" width="4" style="3" customWidth="1"/>
    <col min="2" max="2" width="7.42578125" style="3" customWidth="1"/>
    <col min="3" max="3" width="7.85546875" style="3" bestFit="1" customWidth="1"/>
    <col min="4" max="4" width="7" style="3" customWidth="1"/>
    <col min="5" max="5" width="6.85546875" style="3" customWidth="1"/>
    <col min="6" max="6" width="4.7109375" style="3" customWidth="1"/>
    <col min="7" max="7" width="5.28515625" style="3" customWidth="1"/>
    <col min="8" max="8" width="5.85546875" style="3" customWidth="1"/>
    <col min="9" max="9" width="3.85546875" style="3" customWidth="1"/>
    <col min="10" max="10" width="4.28515625" style="3" customWidth="1"/>
    <col min="11" max="11" width="9.42578125" style="3" customWidth="1"/>
    <col min="12" max="12" width="6.5703125" style="3" customWidth="1"/>
    <col min="13" max="13" width="6.42578125" style="3" customWidth="1"/>
    <col min="14" max="15" width="6.85546875" style="3" customWidth="1"/>
    <col min="16" max="16" width="5.85546875" style="3" customWidth="1"/>
    <col min="17" max="17" width="6" style="3" customWidth="1"/>
    <col min="18" max="18" width="5" style="3" customWidth="1"/>
    <col min="19" max="19" width="6.7109375" style="3" customWidth="1"/>
    <col min="20" max="20" width="5.85546875" style="3" customWidth="1"/>
    <col min="21" max="21" width="7" style="3" customWidth="1"/>
    <col min="22" max="22" width="5.28515625" style="3" customWidth="1"/>
    <col min="23" max="24" width="8.140625" style="3" customWidth="1"/>
    <col min="25" max="25" width="5.42578125" style="3" customWidth="1"/>
    <col min="26" max="26" width="5.7109375" style="3" customWidth="1"/>
    <col min="27" max="16384" width="9.140625" style="3"/>
  </cols>
  <sheetData>
    <row r="1" spans="1:26" ht="21" customHeight="1">
      <c r="A1" s="398" t="s">
        <v>468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</row>
    <row r="2" spans="1:26" ht="24.75" customHeight="1" thickBot="1">
      <c r="A2" s="399" t="str">
        <f>Profile!C4</f>
        <v>KAILASH CHANDRA SHARMA</v>
      </c>
      <c r="B2" s="399"/>
      <c r="C2" s="399"/>
      <c r="D2" s="399"/>
      <c r="E2" s="399"/>
      <c r="F2" s="399"/>
      <c r="G2" s="399"/>
      <c r="H2" s="399">
        <f>Profile!C5</f>
        <v>0</v>
      </c>
      <c r="I2" s="399"/>
      <c r="J2" s="399"/>
      <c r="K2" s="399"/>
      <c r="L2" s="399"/>
      <c r="M2" s="399"/>
      <c r="N2" s="399"/>
      <c r="O2" s="399">
        <f>Profile!C6</f>
        <v>0</v>
      </c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240"/>
    </row>
    <row r="3" spans="1:26" ht="20.100000000000001" customHeight="1">
      <c r="A3" s="400" t="s">
        <v>25</v>
      </c>
      <c r="B3" s="402" t="s">
        <v>26</v>
      </c>
      <c r="C3" s="404" t="s">
        <v>27</v>
      </c>
      <c r="D3" s="404"/>
      <c r="E3" s="404"/>
      <c r="F3" s="404"/>
      <c r="G3" s="404"/>
      <c r="H3" s="404"/>
      <c r="I3" s="404"/>
      <c r="J3" s="404"/>
      <c r="K3" s="404"/>
      <c r="L3" s="404" t="s">
        <v>28</v>
      </c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5" t="s">
        <v>29</v>
      </c>
      <c r="Y3" s="405" t="s">
        <v>30</v>
      </c>
      <c r="Z3" s="408" t="s">
        <v>31</v>
      </c>
    </row>
    <row r="4" spans="1:26" ht="38.25" customHeight="1">
      <c r="A4" s="401"/>
      <c r="B4" s="403"/>
      <c r="C4" s="75" t="s">
        <v>32</v>
      </c>
      <c r="D4" s="76" t="s">
        <v>33</v>
      </c>
      <c r="E4" s="77" t="s">
        <v>34</v>
      </c>
      <c r="F4" s="242" t="s">
        <v>35</v>
      </c>
      <c r="G4" s="243" t="s">
        <v>36</v>
      </c>
      <c r="H4" s="244" t="s">
        <v>37</v>
      </c>
      <c r="I4" s="244" t="s">
        <v>37</v>
      </c>
      <c r="J4" s="245" t="s">
        <v>37</v>
      </c>
      <c r="K4" s="76" t="s">
        <v>38</v>
      </c>
      <c r="L4" s="246" t="str">
        <f>Profile!O6</f>
        <v>GPF</v>
      </c>
      <c r="M4" s="75" t="s">
        <v>39</v>
      </c>
      <c r="N4" s="247" t="s">
        <v>40</v>
      </c>
      <c r="O4" s="75" t="s">
        <v>41</v>
      </c>
      <c r="P4" s="248" t="s">
        <v>220</v>
      </c>
      <c r="Q4" s="249" t="s">
        <v>43</v>
      </c>
      <c r="R4" s="245" t="s">
        <v>37</v>
      </c>
      <c r="S4" s="250" t="s">
        <v>205</v>
      </c>
      <c r="T4" s="245" t="s">
        <v>37</v>
      </c>
      <c r="U4" s="247" t="s">
        <v>45</v>
      </c>
      <c r="V4" s="242" t="s">
        <v>46</v>
      </c>
      <c r="W4" s="76" t="s">
        <v>38</v>
      </c>
      <c r="X4" s="406"/>
      <c r="Y4" s="407"/>
      <c r="Z4" s="409"/>
    </row>
    <row r="5" spans="1:26" ht="20.100000000000001" customHeight="1">
      <c r="A5" s="251">
        <v>1</v>
      </c>
      <c r="B5" s="80">
        <v>2</v>
      </c>
      <c r="C5" s="251">
        <v>3</v>
      </c>
      <c r="D5" s="80">
        <v>4</v>
      </c>
      <c r="E5" s="251">
        <v>5</v>
      </c>
      <c r="F5" s="80">
        <v>6</v>
      </c>
      <c r="G5" s="251">
        <v>7</v>
      </c>
      <c r="H5" s="80">
        <v>8</v>
      </c>
      <c r="I5" s="251">
        <v>9</v>
      </c>
      <c r="J5" s="80">
        <v>10</v>
      </c>
      <c r="K5" s="251">
        <v>11</v>
      </c>
      <c r="L5" s="80">
        <v>12</v>
      </c>
      <c r="M5" s="251">
        <v>13</v>
      </c>
      <c r="N5" s="80">
        <v>14</v>
      </c>
      <c r="O5" s="251">
        <v>15</v>
      </c>
      <c r="P5" s="80">
        <v>16</v>
      </c>
      <c r="Q5" s="251">
        <v>17</v>
      </c>
      <c r="R5" s="80">
        <v>18</v>
      </c>
      <c r="S5" s="251">
        <v>19</v>
      </c>
      <c r="T5" s="80">
        <v>20</v>
      </c>
      <c r="U5" s="251">
        <v>21</v>
      </c>
      <c r="V5" s="80">
        <v>22</v>
      </c>
      <c r="W5" s="251">
        <v>23</v>
      </c>
      <c r="X5" s="80">
        <v>24</v>
      </c>
      <c r="Y5" s="251">
        <v>25</v>
      </c>
      <c r="Z5" s="80">
        <v>26</v>
      </c>
    </row>
    <row r="6" spans="1:26" ht="22.5" customHeight="1">
      <c r="A6" s="241">
        <v>1</v>
      </c>
      <c r="B6" s="83" t="s">
        <v>456</v>
      </c>
      <c r="C6" s="1">
        <f>control!D4</f>
        <v>39100</v>
      </c>
      <c r="D6" s="1">
        <f>control!E4</f>
        <v>19550</v>
      </c>
      <c r="E6" s="1">
        <f>control!G4</f>
        <v>3519</v>
      </c>
      <c r="F6" s="1"/>
      <c r="G6" s="1"/>
      <c r="H6" s="1"/>
      <c r="I6" s="1"/>
      <c r="J6" s="1"/>
      <c r="K6" s="1">
        <f>SUM(C6:J6)</f>
        <v>62169</v>
      </c>
      <c r="L6" s="1">
        <f>control!T4</f>
        <v>2850</v>
      </c>
      <c r="M6" s="1"/>
      <c r="N6" s="1">
        <f>control!J4</f>
        <v>2200</v>
      </c>
      <c r="O6" s="1"/>
      <c r="P6" s="1">
        <f>control!N4</f>
        <v>658</v>
      </c>
      <c r="Q6" s="1">
        <f>Profile!I15</f>
        <v>0</v>
      </c>
      <c r="R6" s="1"/>
      <c r="S6" s="1"/>
      <c r="T6" s="1"/>
      <c r="U6" s="1">
        <f>control!L4</f>
        <v>12000</v>
      </c>
      <c r="V6" s="1"/>
      <c r="W6" s="13">
        <f>SUM(L6:V6)</f>
        <v>17708</v>
      </c>
      <c r="X6" s="1">
        <f>K6-W6</f>
        <v>44461</v>
      </c>
      <c r="Y6" s="252"/>
      <c r="Z6" s="253"/>
    </row>
    <row r="7" spans="1:26" ht="22.5" customHeight="1">
      <c r="A7" s="241">
        <v>2</v>
      </c>
      <c r="B7" s="83" t="s">
        <v>457</v>
      </c>
      <c r="C7" s="1">
        <f>control!D5</f>
        <v>39100</v>
      </c>
      <c r="D7" s="1">
        <f>control!E5</f>
        <v>19550</v>
      </c>
      <c r="E7" s="1">
        <f>control!G5</f>
        <v>3519</v>
      </c>
      <c r="F7" s="1"/>
      <c r="G7" s="1"/>
      <c r="H7" s="1"/>
      <c r="I7" s="1"/>
      <c r="J7" s="1"/>
      <c r="K7" s="1">
        <f t="shared" ref="K7:K24" si="0">SUM(C7:J7)</f>
        <v>62169</v>
      </c>
      <c r="L7" s="1">
        <f>control!T5</f>
        <v>2850</v>
      </c>
      <c r="M7" s="1"/>
      <c r="N7" s="1">
        <f>control!J5</f>
        <v>2200</v>
      </c>
      <c r="O7" s="1"/>
      <c r="P7" s="1">
        <f>control!N5</f>
        <v>658</v>
      </c>
      <c r="Q7" s="1">
        <f t="shared" ref="Q7:Q17" si="1">Q6</f>
        <v>0</v>
      </c>
      <c r="R7" s="1"/>
      <c r="S7" s="1"/>
      <c r="T7" s="1"/>
      <c r="U7" s="1">
        <f>control!L5</f>
        <v>12000</v>
      </c>
      <c r="V7" s="1">
        <f>Profile!C19</f>
        <v>0</v>
      </c>
      <c r="W7" s="13">
        <f t="shared" ref="W7:W24" si="2">SUM(L7:V7)</f>
        <v>17708</v>
      </c>
      <c r="X7" s="1">
        <f t="shared" ref="X7:X24" si="3">K7-W7</f>
        <v>44461</v>
      </c>
      <c r="Y7" s="252"/>
      <c r="Z7" s="253"/>
    </row>
    <row r="8" spans="1:26" ht="22.5" customHeight="1">
      <c r="A8" s="241">
        <v>3</v>
      </c>
      <c r="B8" s="83" t="s">
        <v>458</v>
      </c>
      <c r="C8" s="1">
        <f>control!D6</f>
        <v>39100</v>
      </c>
      <c r="D8" s="1">
        <f>control!E6</f>
        <v>19550</v>
      </c>
      <c r="E8" s="1">
        <f>control!G6</f>
        <v>3519</v>
      </c>
      <c r="F8" s="1"/>
      <c r="G8" s="1"/>
      <c r="H8" s="1"/>
      <c r="I8" s="1"/>
      <c r="J8" s="1"/>
      <c r="K8" s="1">
        <f t="shared" si="0"/>
        <v>62169</v>
      </c>
      <c r="L8" s="1">
        <f>control!T6</f>
        <v>2850</v>
      </c>
      <c r="M8" s="1"/>
      <c r="N8" s="1">
        <f>control!J6</f>
        <v>2200</v>
      </c>
      <c r="O8" s="1"/>
      <c r="P8" s="1">
        <f>control!N6</f>
        <v>658</v>
      </c>
      <c r="Q8" s="1">
        <f t="shared" si="1"/>
        <v>0</v>
      </c>
      <c r="R8" s="1"/>
      <c r="S8" s="1"/>
      <c r="T8" s="1"/>
      <c r="U8" s="1">
        <f>control!L6</f>
        <v>12000</v>
      </c>
      <c r="V8" s="1"/>
      <c r="W8" s="13">
        <f t="shared" si="2"/>
        <v>17708</v>
      </c>
      <c r="X8" s="1">
        <f t="shared" si="3"/>
        <v>44461</v>
      </c>
      <c r="Y8" s="252"/>
      <c r="Z8" s="253"/>
    </row>
    <row r="9" spans="1:26" ht="22.5" customHeight="1">
      <c r="A9" s="241">
        <v>4</v>
      </c>
      <c r="B9" s="83" t="s">
        <v>459</v>
      </c>
      <c r="C9" s="1">
        <f>control!D7</f>
        <v>39100</v>
      </c>
      <c r="D9" s="1">
        <f>control!E7</f>
        <v>19550</v>
      </c>
      <c r="E9" s="1">
        <f>control!G7</f>
        <v>3519</v>
      </c>
      <c r="F9" s="1"/>
      <c r="G9" s="1"/>
      <c r="H9" s="1"/>
      <c r="I9" s="1"/>
      <c r="J9" s="1"/>
      <c r="K9" s="1">
        <f t="shared" si="0"/>
        <v>62169</v>
      </c>
      <c r="L9" s="1">
        <f>control!T7</f>
        <v>2850</v>
      </c>
      <c r="M9" s="1"/>
      <c r="N9" s="1">
        <f>control!J7</f>
        <v>2200</v>
      </c>
      <c r="O9" s="1"/>
      <c r="P9" s="1">
        <f>control!N7</f>
        <v>658</v>
      </c>
      <c r="Q9" s="1">
        <f t="shared" si="1"/>
        <v>0</v>
      </c>
      <c r="R9" s="1"/>
      <c r="S9" s="1"/>
      <c r="T9" s="1"/>
      <c r="U9" s="1">
        <f>control!L7</f>
        <v>12000</v>
      </c>
      <c r="V9" s="1"/>
      <c r="W9" s="13">
        <f t="shared" si="2"/>
        <v>17708</v>
      </c>
      <c r="X9" s="1">
        <f t="shared" si="3"/>
        <v>44461</v>
      </c>
      <c r="Y9" s="252"/>
      <c r="Z9" s="253"/>
    </row>
    <row r="10" spans="1:26" ht="22.5" customHeight="1">
      <c r="A10" s="241">
        <v>5</v>
      </c>
      <c r="B10" s="83" t="s">
        <v>460</v>
      </c>
      <c r="C10" s="1">
        <f>control!D8</f>
        <v>40300</v>
      </c>
      <c r="D10" s="1">
        <f>control!E8</f>
        <v>20150</v>
      </c>
      <c r="E10" s="1">
        <f>control!G8</f>
        <v>3627</v>
      </c>
      <c r="F10" s="1"/>
      <c r="G10" s="1"/>
      <c r="H10" s="1"/>
      <c r="I10" s="1"/>
      <c r="J10" s="1"/>
      <c r="K10" s="1">
        <f t="shared" si="0"/>
        <v>64077</v>
      </c>
      <c r="L10" s="1">
        <f>control!T8</f>
        <v>2850</v>
      </c>
      <c r="M10" s="1"/>
      <c r="N10" s="1">
        <f>control!J8</f>
        <v>2200</v>
      </c>
      <c r="O10" s="1"/>
      <c r="P10" s="1">
        <f>control!N8</f>
        <v>658</v>
      </c>
      <c r="Q10" s="1">
        <f t="shared" si="1"/>
        <v>0</v>
      </c>
      <c r="R10" s="1"/>
      <c r="S10" s="1"/>
      <c r="T10" s="1"/>
      <c r="U10" s="1">
        <f>control!L8</f>
        <v>12000</v>
      </c>
      <c r="V10" s="1"/>
      <c r="W10" s="13">
        <f t="shared" si="2"/>
        <v>17708</v>
      </c>
      <c r="X10" s="1">
        <f t="shared" si="3"/>
        <v>46369</v>
      </c>
      <c r="Y10" s="252"/>
      <c r="Z10" s="253"/>
    </row>
    <row r="11" spans="1:26" ht="22.5" customHeight="1">
      <c r="A11" s="241">
        <v>6</v>
      </c>
      <c r="B11" s="83" t="s">
        <v>461</v>
      </c>
      <c r="C11" s="1">
        <f>control!D9</f>
        <v>40300</v>
      </c>
      <c r="D11" s="1">
        <f>control!E9</f>
        <v>20150</v>
      </c>
      <c r="E11" s="1">
        <f>control!G9</f>
        <v>3627</v>
      </c>
      <c r="F11" s="1"/>
      <c r="G11" s="1"/>
      <c r="H11" s="1"/>
      <c r="I11" s="1"/>
      <c r="J11" s="1"/>
      <c r="K11" s="1">
        <f t="shared" si="0"/>
        <v>64077</v>
      </c>
      <c r="L11" s="1">
        <f>control!T9</f>
        <v>2850</v>
      </c>
      <c r="M11" s="1"/>
      <c r="N11" s="1">
        <f>control!J9</f>
        <v>2200</v>
      </c>
      <c r="O11" s="1"/>
      <c r="P11" s="1">
        <f>control!N9</f>
        <v>658</v>
      </c>
      <c r="Q11" s="1">
        <f t="shared" si="1"/>
        <v>0</v>
      </c>
      <c r="R11" s="1"/>
      <c r="S11" s="1"/>
      <c r="T11" s="1"/>
      <c r="U11" s="1">
        <f>control!L9</f>
        <v>12000</v>
      </c>
      <c r="V11" s="1"/>
      <c r="W11" s="13">
        <f t="shared" si="2"/>
        <v>17708</v>
      </c>
      <c r="X11" s="1">
        <f t="shared" si="3"/>
        <v>46369</v>
      </c>
      <c r="Y11" s="252"/>
      <c r="Z11" s="253"/>
    </row>
    <row r="12" spans="1:26" ht="22.5" customHeight="1">
      <c r="A12" s="241">
        <v>7</v>
      </c>
      <c r="B12" s="83" t="s">
        <v>462</v>
      </c>
      <c r="C12" s="1">
        <f>control!D10</f>
        <v>40300</v>
      </c>
      <c r="D12" s="1">
        <f>control!E10</f>
        <v>20150</v>
      </c>
      <c r="E12" s="1">
        <f>control!G10</f>
        <v>3627</v>
      </c>
      <c r="F12" s="1"/>
      <c r="G12" s="1"/>
      <c r="H12" s="1"/>
      <c r="I12" s="1"/>
      <c r="J12" s="1"/>
      <c r="K12" s="1">
        <f t="shared" si="0"/>
        <v>64077</v>
      </c>
      <c r="L12" s="1">
        <f>control!T10</f>
        <v>2850</v>
      </c>
      <c r="M12" s="1"/>
      <c r="N12" s="1">
        <f>control!J10</f>
        <v>2200</v>
      </c>
      <c r="O12" s="1"/>
      <c r="P12" s="1">
        <f>control!N10</f>
        <v>658</v>
      </c>
      <c r="Q12" s="1">
        <f t="shared" si="1"/>
        <v>0</v>
      </c>
      <c r="R12" s="1"/>
      <c r="S12" s="1"/>
      <c r="T12" s="1"/>
      <c r="U12" s="1">
        <f>control!L10</f>
        <v>12000</v>
      </c>
      <c r="V12" s="1"/>
      <c r="W12" s="13">
        <f t="shared" si="2"/>
        <v>17708</v>
      </c>
      <c r="X12" s="1">
        <f t="shared" si="3"/>
        <v>46369</v>
      </c>
      <c r="Y12" s="252"/>
      <c r="Z12" s="253"/>
    </row>
    <row r="13" spans="1:26" ht="22.5" customHeight="1">
      <c r="A13" s="241">
        <v>8</v>
      </c>
      <c r="B13" s="83" t="s">
        <v>463</v>
      </c>
      <c r="C13" s="1">
        <f>control!D11</f>
        <v>40300</v>
      </c>
      <c r="D13" s="1">
        <f>control!E11</f>
        <v>20150</v>
      </c>
      <c r="E13" s="1">
        <f>control!G11</f>
        <v>3627</v>
      </c>
      <c r="F13" s="1"/>
      <c r="G13" s="1"/>
      <c r="H13" s="1"/>
      <c r="I13" s="1"/>
      <c r="J13" s="1"/>
      <c r="K13" s="1">
        <f t="shared" si="0"/>
        <v>64077</v>
      </c>
      <c r="L13" s="1">
        <f>control!T11</f>
        <v>2850</v>
      </c>
      <c r="M13" s="1"/>
      <c r="N13" s="1">
        <f>control!J11</f>
        <v>2200</v>
      </c>
      <c r="O13" s="1"/>
      <c r="P13" s="1">
        <f>control!N11</f>
        <v>658</v>
      </c>
      <c r="Q13" s="1">
        <f t="shared" si="1"/>
        <v>0</v>
      </c>
      <c r="R13" s="1"/>
      <c r="S13" s="1"/>
      <c r="T13" s="1"/>
      <c r="U13" s="1">
        <f>control!L11</f>
        <v>12000</v>
      </c>
      <c r="V13" s="1"/>
      <c r="W13" s="13">
        <f t="shared" si="2"/>
        <v>17708</v>
      </c>
      <c r="X13" s="1">
        <f t="shared" si="3"/>
        <v>46369</v>
      </c>
      <c r="Y13" s="252"/>
      <c r="Z13" s="253"/>
    </row>
    <row r="14" spans="1:26" ht="22.5" customHeight="1">
      <c r="A14" s="241">
        <v>9</v>
      </c>
      <c r="B14" s="83" t="s">
        <v>464</v>
      </c>
      <c r="C14" s="1">
        <f>control!D12</f>
        <v>40300</v>
      </c>
      <c r="D14" s="1">
        <f>control!E12</f>
        <v>21359</v>
      </c>
      <c r="E14" s="1">
        <f>control!G12</f>
        <v>4030</v>
      </c>
      <c r="F14" s="1"/>
      <c r="G14" s="1"/>
      <c r="H14" s="1"/>
      <c r="I14" s="1"/>
      <c r="J14" s="1"/>
      <c r="K14" s="1">
        <f t="shared" si="0"/>
        <v>65689</v>
      </c>
      <c r="L14" s="1">
        <f>control!T12</f>
        <v>2850</v>
      </c>
      <c r="M14" s="1"/>
      <c r="N14" s="1">
        <f>control!J12</f>
        <v>2200</v>
      </c>
      <c r="O14" s="1"/>
      <c r="P14" s="1">
        <f>control!N12</f>
        <v>658</v>
      </c>
      <c r="Q14" s="1">
        <f t="shared" si="1"/>
        <v>0</v>
      </c>
      <c r="R14" s="1"/>
      <c r="S14" s="1"/>
      <c r="T14" s="1"/>
      <c r="U14" s="1">
        <f>control!L12</f>
        <v>0</v>
      </c>
      <c r="V14" s="1"/>
      <c r="W14" s="13">
        <f t="shared" si="2"/>
        <v>5708</v>
      </c>
      <c r="X14" s="1">
        <f t="shared" si="3"/>
        <v>59981</v>
      </c>
      <c r="Y14" s="252"/>
      <c r="Z14" s="253"/>
    </row>
    <row r="15" spans="1:26" ht="22.5" customHeight="1">
      <c r="A15" s="241">
        <v>10</v>
      </c>
      <c r="B15" s="83" t="s">
        <v>465</v>
      </c>
      <c r="C15" s="1">
        <f>control!D13</f>
        <v>40300</v>
      </c>
      <c r="D15" s="1">
        <f>control!E13</f>
        <v>21359</v>
      </c>
      <c r="E15" s="1">
        <f>control!G13</f>
        <v>4030</v>
      </c>
      <c r="F15" s="1"/>
      <c r="G15" s="1"/>
      <c r="H15" s="1"/>
      <c r="I15" s="1"/>
      <c r="J15" s="1"/>
      <c r="K15" s="1">
        <f t="shared" si="0"/>
        <v>65689</v>
      </c>
      <c r="L15" s="1">
        <f>control!T13</f>
        <v>2850</v>
      </c>
      <c r="M15" s="1"/>
      <c r="N15" s="1">
        <f>control!J13</f>
        <v>2200</v>
      </c>
      <c r="O15" s="1"/>
      <c r="P15" s="1">
        <f>control!N13</f>
        <v>658</v>
      </c>
      <c r="Q15" s="1">
        <f t="shared" si="1"/>
        <v>0</v>
      </c>
      <c r="R15" s="1"/>
      <c r="S15" s="1">
        <f>control!P3</f>
        <v>250</v>
      </c>
      <c r="T15" s="1"/>
      <c r="U15" s="1">
        <f>control!L13</f>
        <v>0</v>
      </c>
      <c r="V15" s="1"/>
      <c r="W15" s="13">
        <f t="shared" si="2"/>
        <v>5958</v>
      </c>
      <c r="X15" s="1">
        <f t="shared" si="3"/>
        <v>59731</v>
      </c>
      <c r="Y15" s="252"/>
      <c r="Z15" s="253"/>
    </row>
    <row r="16" spans="1:26" ht="22.5" customHeight="1">
      <c r="A16" s="241">
        <v>11</v>
      </c>
      <c r="B16" s="83" t="s">
        <v>466</v>
      </c>
      <c r="C16" s="1">
        <f>control!D14</f>
        <v>40300</v>
      </c>
      <c r="D16" s="1">
        <f>control!E14</f>
        <v>21359</v>
      </c>
      <c r="E16" s="1">
        <f>control!G14</f>
        <v>4030</v>
      </c>
      <c r="F16" s="1"/>
      <c r="G16" s="1"/>
      <c r="H16" s="1"/>
      <c r="I16" s="1"/>
      <c r="J16" s="1"/>
      <c r="K16" s="1">
        <f t="shared" si="0"/>
        <v>65689</v>
      </c>
      <c r="L16" s="1">
        <f>control!T14</f>
        <v>2850</v>
      </c>
      <c r="M16" s="1"/>
      <c r="N16" s="1">
        <f>control!J14</f>
        <v>2200</v>
      </c>
      <c r="O16" s="1"/>
      <c r="P16" s="1">
        <f>control!N14</f>
        <v>658</v>
      </c>
      <c r="Q16" s="1">
        <f t="shared" si="1"/>
        <v>0</v>
      </c>
      <c r="R16" s="1"/>
      <c r="S16" s="1"/>
      <c r="T16" s="1"/>
      <c r="U16" s="1">
        <f>control!L14</f>
        <v>0</v>
      </c>
      <c r="V16" s="1"/>
      <c r="W16" s="13">
        <f t="shared" si="2"/>
        <v>5708</v>
      </c>
      <c r="X16" s="1">
        <f t="shared" si="3"/>
        <v>59981</v>
      </c>
      <c r="Y16" s="252"/>
      <c r="Z16" s="253"/>
    </row>
    <row r="17" spans="1:26" ht="22.5" customHeight="1">
      <c r="A17" s="241">
        <v>12</v>
      </c>
      <c r="B17" s="83" t="s">
        <v>467</v>
      </c>
      <c r="C17" s="1">
        <f>control!D15</f>
        <v>40300</v>
      </c>
      <c r="D17" s="1">
        <f>control!E15</f>
        <v>21359</v>
      </c>
      <c r="E17" s="1">
        <f>control!G15</f>
        <v>4030</v>
      </c>
      <c r="F17" s="1"/>
      <c r="G17" s="1"/>
      <c r="H17" s="1"/>
      <c r="I17" s="1"/>
      <c r="J17" s="1"/>
      <c r="K17" s="1">
        <f t="shared" si="0"/>
        <v>65689</v>
      </c>
      <c r="L17" s="1">
        <f>control!T15</f>
        <v>2850</v>
      </c>
      <c r="M17" s="1"/>
      <c r="N17" s="1">
        <f>control!J15</f>
        <v>2200</v>
      </c>
      <c r="O17" s="1"/>
      <c r="P17" s="1">
        <f>control!N15</f>
        <v>658</v>
      </c>
      <c r="Q17" s="1">
        <f t="shared" si="1"/>
        <v>0</v>
      </c>
      <c r="R17" s="1"/>
      <c r="S17" s="1"/>
      <c r="T17" s="1"/>
      <c r="U17" s="1">
        <f>control!L15</f>
        <v>0</v>
      </c>
      <c r="V17" s="1"/>
      <c r="W17" s="13">
        <f t="shared" si="2"/>
        <v>5708</v>
      </c>
      <c r="X17" s="1">
        <f t="shared" si="3"/>
        <v>59981</v>
      </c>
      <c r="Y17" s="252"/>
      <c r="Z17" s="253"/>
    </row>
    <row r="18" spans="1:26" ht="22.5" customHeight="1">
      <c r="A18" s="241">
        <v>13</v>
      </c>
      <c r="B18" s="83" t="s">
        <v>59</v>
      </c>
      <c r="C18" s="1"/>
      <c r="D18" s="1">
        <f>control!N22</f>
        <v>3128</v>
      </c>
      <c r="E18" s="1"/>
      <c r="F18" s="1"/>
      <c r="G18" s="1"/>
      <c r="H18" s="1"/>
      <c r="I18" s="1"/>
      <c r="J18" s="1"/>
      <c r="K18" s="1">
        <f t="shared" si="0"/>
        <v>3128</v>
      </c>
      <c r="L18" s="1">
        <f>K18</f>
        <v>3128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3">
        <f t="shared" si="2"/>
        <v>3128</v>
      </c>
      <c r="X18" s="1">
        <f t="shared" si="3"/>
        <v>0</v>
      </c>
      <c r="Y18" s="252"/>
      <c r="Z18" s="253"/>
    </row>
    <row r="19" spans="1:26" ht="22.5" customHeight="1">
      <c r="A19" s="241">
        <v>14</v>
      </c>
      <c r="B19" s="83" t="s">
        <v>59</v>
      </c>
      <c r="C19" s="1"/>
      <c r="D19" s="1">
        <f>control!N23</f>
        <v>4836</v>
      </c>
      <c r="E19" s="1"/>
      <c r="F19" s="1"/>
      <c r="G19" s="1"/>
      <c r="H19" s="1"/>
      <c r="I19" s="1"/>
      <c r="J19" s="1"/>
      <c r="K19" s="1">
        <f t="shared" si="0"/>
        <v>4836</v>
      </c>
      <c r="L19" s="1">
        <f>K19</f>
        <v>4836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3">
        <f t="shared" si="2"/>
        <v>4836</v>
      </c>
      <c r="X19" s="1">
        <f t="shared" si="3"/>
        <v>0</v>
      </c>
      <c r="Y19" s="252"/>
      <c r="Z19" s="253"/>
    </row>
    <row r="20" spans="1:26" ht="22.5" customHeight="1">
      <c r="A20" s="241">
        <v>15</v>
      </c>
      <c r="B20" s="83" t="s">
        <v>60</v>
      </c>
      <c r="C20" s="2">
        <f>control!AE4</f>
        <v>20150</v>
      </c>
      <c r="D20" s="2">
        <f>control!AF4</f>
        <v>10679.5</v>
      </c>
      <c r="E20" s="1"/>
      <c r="F20" s="1"/>
      <c r="G20" s="1"/>
      <c r="H20" s="1"/>
      <c r="I20" s="1"/>
      <c r="J20" s="1"/>
      <c r="K20" s="2">
        <f t="shared" si="0"/>
        <v>30829.5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3">
        <f t="shared" si="2"/>
        <v>0</v>
      </c>
      <c r="X20" s="1">
        <f t="shared" si="3"/>
        <v>30829.5</v>
      </c>
      <c r="Y20" s="252"/>
      <c r="Z20" s="253"/>
    </row>
    <row r="21" spans="1:26" ht="22.5" customHeight="1">
      <c r="A21" s="241">
        <v>16</v>
      </c>
      <c r="B21" s="83" t="s">
        <v>36</v>
      </c>
      <c r="C21" s="2"/>
      <c r="D21" s="1"/>
      <c r="E21" s="1"/>
      <c r="F21" s="1"/>
      <c r="G21" s="2">
        <f>control!V5</f>
        <v>6774</v>
      </c>
      <c r="H21" s="1"/>
      <c r="I21" s="1"/>
      <c r="J21" s="1"/>
      <c r="K21" s="1">
        <f t="shared" si="0"/>
        <v>6774</v>
      </c>
      <c r="L21" s="1">
        <f>control!V6</f>
        <v>1694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3">
        <f t="shared" si="2"/>
        <v>1694</v>
      </c>
      <c r="X21" s="1">
        <f t="shared" si="3"/>
        <v>5080</v>
      </c>
      <c r="Y21" s="252"/>
      <c r="Z21" s="253"/>
    </row>
    <row r="22" spans="1:26" ht="22.5" customHeight="1">
      <c r="A22" s="241">
        <v>17</v>
      </c>
      <c r="B22" s="255" t="s">
        <v>61</v>
      </c>
      <c r="C22" s="1"/>
      <c r="D22" s="1"/>
      <c r="E22" s="1"/>
      <c r="F22" s="1"/>
      <c r="G22" s="1"/>
      <c r="H22" s="1"/>
      <c r="I22" s="1"/>
      <c r="J22" s="1"/>
      <c r="K22" s="1">
        <f t="shared" si="0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">
        <f t="shared" si="2"/>
        <v>0</v>
      </c>
      <c r="X22" s="1">
        <f t="shared" si="3"/>
        <v>0</v>
      </c>
      <c r="Y22" s="252"/>
      <c r="Z22" s="253"/>
    </row>
    <row r="23" spans="1:26" ht="22.5" customHeight="1">
      <c r="A23" s="241">
        <v>18</v>
      </c>
      <c r="B23" s="255" t="s">
        <v>61</v>
      </c>
      <c r="C23" s="1"/>
      <c r="D23" s="1"/>
      <c r="E23" s="1"/>
      <c r="F23" s="1"/>
      <c r="G23" s="1"/>
      <c r="H23" s="1"/>
      <c r="I23" s="1"/>
      <c r="J23" s="1"/>
      <c r="K23" s="1">
        <f t="shared" si="0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3">
        <f t="shared" si="2"/>
        <v>0</v>
      </c>
      <c r="X23" s="1">
        <f t="shared" si="3"/>
        <v>0</v>
      </c>
      <c r="Y23" s="252"/>
      <c r="Z23" s="253"/>
    </row>
    <row r="24" spans="1:26" ht="22.5" customHeight="1">
      <c r="A24" s="241">
        <v>19</v>
      </c>
      <c r="B24" s="255" t="s">
        <v>450</v>
      </c>
      <c r="C24" s="1"/>
      <c r="D24" s="1"/>
      <c r="E24" s="1"/>
      <c r="F24" s="1"/>
      <c r="G24" s="1"/>
      <c r="H24" s="1"/>
      <c r="I24" s="1"/>
      <c r="J24" s="1"/>
      <c r="K24" s="1">
        <f t="shared" si="0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3">
        <f t="shared" si="2"/>
        <v>0</v>
      </c>
      <c r="X24" s="1">
        <f t="shared" si="3"/>
        <v>0</v>
      </c>
      <c r="Y24" s="252"/>
      <c r="Z24" s="253"/>
    </row>
    <row r="25" spans="1:26" ht="22.5" customHeight="1" thickBot="1">
      <c r="A25" s="256">
        <v>20</v>
      </c>
      <c r="B25" s="257" t="s">
        <v>38</v>
      </c>
      <c r="C25" s="2">
        <f>SUM(C6:C24)</f>
        <v>498950</v>
      </c>
      <c r="D25" s="2">
        <f t="shared" ref="D25:W25" si="4">SUM(D6:D24)</f>
        <v>262879.5</v>
      </c>
      <c r="E25" s="2">
        <f t="shared" si="4"/>
        <v>44704</v>
      </c>
      <c r="F25" s="2">
        <f t="shared" si="4"/>
        <v>0</v>
      </c>
      <c r="G25" s="2">
        <f t="shared" si="4"/>
        <v>6774</v>
      </c>
      <c r="H25" s="2">
        <f t="shared" si="4"/>
        <v>0</v>
      </c>
      <c r="I25" s="2">
        <f t="shared" si="4"/>
        <v>0</v>
      </c>
      <c r="J25" s="2">
        <f t="shared" si="4"/>
        <v>0</v>
      </c>
      <c r="K25" s="2">
        <f t="shared" si="4"/>
        <v>813307.5</v>
      </c>
      <c r="L25" s="2">
        <f t="shared" si="4"/>
        <v>43858</v>
      </c>
      <c r="M25" s="2">
        <f t="shared" si="4"/>
        <v>0</v>
      </c>
      <c r="N25" s="2">
        <f t="shared" si="4"/>
        <v>26400</v>
      </c>
      <c r="O25" s="2">
        <f t="shared" si="4"/>
        <v>0</v>
      </c>
      <c r="P25" s="2">
        <f t="shared" si="4"/>
        <v>7896</v>
      </c>
      <c r="Q25" s="2">
        <f t="shared" si="4"/>
        <v>0</v>
      </c>
      <c r="R25" s="2">
        <f t="shared" si="4"/>
        <v>0</v>
      </c>
      <c r="S25" s="2">
        <f t="shared" si="4"/>
        <v>250</v>
      </c>
      <c r="T25" s="2">
        <f t="shared" si="4"/>
        <v>0</v>
      </c>
      <c r="U25" s="2">
        <f t="shared" si="4"/>
        <v>96000</v>
      </c>
      <c r="V25" s="2">
        <f t="shared" si="4"/>
        <v>0</v>
      </c>
      <c r="W25" s="2">
        <f t="shared" si="4"/>
        <v>174404</v>
      </c>
      <c r="X25" s="2">
        <f>SUM(X6:X24)</f>
        <v>638903.5</v>
      </c>
      <c r="Y25" s="254"/>
      <c r="Z25" s="254"/>
    </row>
    <row r="26" spans="1:26" ht="15.75">
      <c r="A26" s="258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</row>
    <row r="27" spans="1:26" ht="15.75">
      <c r="A27" s="395" t="s">
        <v>142</v>
      </c>
      <c r="B27" s="395"/>
      <c r="C27" s="395"/>
      <c r="D27" s="395"/>
      <c r="E27" s="395"/>
      <c r="F27" s="395"/>
      <c r="G27" s="395"/>
      <c r="H27" s="395"/>
      <c r="I27" s="395"/>
      <c r="J27" s="395"/>
      <c r="K27" s="395"/>
      <c r="L27" s="395"/>
      <c r="M27" s="259"/>
      <c r="N27" s="396" t="s">
        <v>62</v>
      </c>
      <c r="O27" s="396"/>
      <c r="P27" s="396"/>
      <c r="Q27" s="396"/>
      <c r="R27" s="258"/>
      <c r="S27" s="258"/>
      <c r="T27" s="258"/>
      <c r="U27" s="397" t="s">
        <v>63</v>
      </c>
      <c r="V27" s="397"/>
      <c r="W27" s="397"/>
      <c r="X27" s="397"/>
      <c r="Y27" s="397"/>
      <c r="Z27" s="397"/>
    </row>
    <row r="28" spans="1:26" ht="15.75" thickBot="1"/>
    <row r="29" spans="1:26">
      <c r="K29" s="386" t="e">
        <f>[1]contrl!L27</f>
        <v>#REF!</v>
      </c>
      <c r="L29" s="387"/>
      <c r="M29" s="387"/>
      <c r="N29" s="387"/>
      <c r="O29" s="387"/>
      <c r="P29" s="387"/>
      <c r="Q29" s="387"/>
      <c r="R29" s="387"/>
      <c r="S29" s="388"/>
    </row>
    <row r="30" spans="1:26" ht="30.75" customHeight="1">
      <c r="K30" s="389"/>
      <c r="L30" s="390"/>
      <c r="M30" s="390"/>
      <c r="N30" s="390"/>
      <c r="O30" s="390"/>
      <c r="P30" s="390"/>
      <c r="Q30" s="390"/>
      <c r="R30" s="390"/>
      <c r="S30" s="391"/>
    </row>
    <row r="31" spans="1:26" ht="15.75" thickBot="1">
      <c r="K31" s="392"/>
      <c r="L31" s="393"/>
      <c r="M31" s="393"/>
      <c r="N31" s="393"/>
      <c r="O31" s="393"/>
      <c r="P31" s="393"/>
      <c r="Q31" s="393"/>
      <c r="R31" s="393"/>
      <c r="S31" s="394"/>
    </row>
    <row r="32" spans="1:26" ht="15.75" thickBot="1"/>
    <row r="33" spans="1:24" ht="24.75" customHeight="1" thickBot="1">
      <c r="A33" s="374" t="s">
        <v>200</v>
      </c>
      <c r="B33" s="375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6"/>
    </row>
    <row r="34" spans="1:24" ht="42.75" customHeight="1">
      <c r="A34" s="377" t="s">
        <v>203</v>
      </c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9"/>
    </row>
    <row r="35" spans="1:24" ht="81" customHeight="1">
      <c r="A35" s="380" t="s">
        <v>202</v>
      </c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2"/>
    </row>
    <row r="36" spans="1:24" ht="57.75" customHeight="1" thickBot="1">
      <c r="A36" s="383" t="s">
        <v>204</v>
      </c>
      <c r="B36" s="38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5"/>
    </row>
    <row r="37" spans="1:24">
      <c r="P37" s="74"/>
    </row>
  </sheetData>
  <sheetProtection algorithmName="SHA-512" hashValue="gnykIVblR2eaSljA/0GRatnNboFUmkKa25V4Sbcl4A628yFra/sNwi+10DyqBqXqaIR+BKi3vOTGeH4pL5GCxQ==" saltValue="zlAQbQHrd1gcpjBlZ7ccCw==" spinCount="100000" sheet="1" objects="1" scenarios="1"/>
  <mergeCells count="19">
    <mergeCell ref="A27:L27"/>
    <mergeCell ref="N27:Q27"/>
    <mergeCell ref="U27:Z27"/>
    <mergeCell ref="A1:Z1"/>
    <mergeCell ref="A2:G2"/>
    <mergeCell ref="A3:A4"/>
    <mergeCell ref="B3:B4"/>
    <mergeCell ref="C3:K3"/>
    <mergeCell ref="L3:W3"/>
    <mergeCell ref="X3:X4"/>
    <mergeCell ref="Y3:Y4"/>
    <mergeCell ref="H2:N2"/>
    <mergeCell ref="O2:Y2"/>
    <mergeCell ref="Z3:Z4"/>
    <mergeCell ref="A33:X33"/>
    <mergeCell ref="A34:X34"/>
    <mergeCell ref="A35:X35"/>
    <mergeCell ref="A36:X36"/>
    <mergeCell ref="K29:S31"/>
  </mergeCells>
  <phoneticPr fontId="25" type="noConversion"/>
  <pageMargins left="0.157" right="0" top="0.314" bottom="0.314" header="0.314" footer="0"/>
  <pageSetup paperSize="9" scale="89" orientation="landscape" r:id="rId1"/>
  <colBreaks count="1" manualBreakCount="1">
    <brk id="26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salary">
                <anchor moveWithCells="1" sizeWithCells="1">
                  <from>
                    <xdr:col>11</xdr:col>
                    <xdr:colOff>104775</xdr:colOff>
                    <xdr:row>29</xdr:row>
                    <xdr:rowOff>85725</xdr:rowOff>
                  </from>
                  <to>
                    <xdr:col>16</xdr:col>
                    <xdr:colOff>28575</xdr:colOff>
                    <xdr:row>30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4D5A8-FD2B-4B54-BEB7-1F3096780B2C}">
  <sheetPr codeName="Sheet3">
    <tabColor rgb="FF00B050"/>
    <pageSetUpPr fitToPage="1"/>
  </sheetPr>
  <dimension ref="A1:AL64"/>
  <sheetViews>
    <sheetView zoomScaleNormal="100" workbookViewId="0">
      <selection activeCell="N20" sqref="N20"/>
    </sheetView>
  </sheetViews>
  <sheetFormatPr defaultRowHeight="15"/>
  <cols>
    <col min="1" max="1" width="24" style="3" customWidth="1"/>
    <col min="2" max="2" width="19.85546875" style="3" customWidth="1"/>
    <col min="3" max="3" width="16.140625" style="3" customWidth="1"/>
    <col min="4" max="4" width="20.85546875" style="3" customWidth="1"/>
    <col min="5" max="5" width="21.85546875" style="3" customWidth="1"/>
    <col min="6" max="10" width="9.140625" style="3"/>
    <col min="11" max="11" width="9.5703125" style="3" customWidth="1"/>
    <col min="12" max="19" width="9.140625" style="3"/>
    <col min="20" max="20" width="16.28515625" style="3" hidden="1" customWidth="1"/>
    <col min="21" max="21" width="10.85546875" style="3" hidden="1" customWidth="1"/>
    <col min="22" max="22" width="11" style="3" hidden="1" customWidth="1"/>
    <col min="23" max="30" width="9.140625" style="3"/>
    <col min="31" max="38" width="0" style="3" hidden="1" customWidth="1"/>
    <col min="39" max="16384" width="9.140625" style="3"/>
  </cols>
  <sheetData>
    <row r="1" spans="1:11" ht="18.75" customHeight="1">
      <c r="A1" s="431" t="s">
        <v>471</v>
      </c>
      <c r="B1" s="432"/>
      <c r="C1" s="432"/>
      <c r="D1" s="432"/>
      <c r="E1" s="267" t="str">
        <f>IF(control!S31=1,"New Slab ","Old Slab")</f>
        <v xml:space="preserve">New Slab </v>
      </c>
    </row>
    <row r="2" spans="1:11" ht="17.25" customHeight="1">
      <c r="A2" s="462" t="str">
        <f>Profile!C4</f>
        <v>KAILASH CHANDRA SHARMA</v>
      </c>
      <c r="B2" s="464"/>
      <c r="C2" s="14">
        <f>Profile!C5</f>
        <v>0</v>
      </c>
      <c r="D2" s="462">
        <f>Profile!C6</f>
        <v>0</v>
      </c>
      <c r="E2" s="463"/>
    </row>
    <row r="3" spans="1:11" ht="17.25" customHeight="1">
      <c r="A3" s="14" t="str">
        <f>CONCATENATE("PAN:-   ",Profile!C7)</f>
        <v xml:space="preserve">PAN:-   </v>
      </c>
      <c r="B3" s="445" t="str">
        <f>CONCATENATE("Bank Ac.No.:-",Profile!I5)</f>
        <v>Bank Ac.No.:-</v>
      </c>
      <c r="C3" s="445"/>
      <c r="D3" s="445" t="str">
        <f>CONCATENATE("Name of Bank:-",Profile!I4)</f>
        <v>Name of Bank:-</v>
      </c>
      <c r="E3" s="446"/>
    </row>
    <row r="4" spans="1:11">
      <c r="A4" s="15" t="s">
        <v>67</v>
      </c>
      <c r="B4" s="420"/>
      <c r="C4" s="420"/>
      <c r="D4" s="16"/>
      <c r="E4" s="17">
        <f>Salary!K25</f>
        <v>813307.5</v>
      </c>
    </row>
    <row r="5" spans="1:11">
      <c r="A5" s="434" t="s">
        <v>68</v>
      </c>
      <c r="B5" s="435"/>
      <c r="C5" s="436"/>
      <c r="D5" s="67">
        <v>0</v>
      </c>
      <c r="E5" s="17">
        <f>E4+D5</f>
        <v>813307.5</v>
      </c>
    </row>
    <row r="6" spans="1:11" ht="15.75" thickBot="1">
      <c r="A6" s="434" t="s">
        <v>69</v>
      </c>
      <c r="B6" s="435"/>
      <c r="C6" s="436"/>
      <c r="D6" s="19">
        <f>IF(control!S31=1,75000,50000)</f>
        <v>75000</v>
      </c>
      <c r="E6" s="17">
        <f>IF(E5&gt;D6,E5-D6,0)</f>
        <v>738307.5</v>
      </c>
    </row>
    <row r="7" spans="1:11">
      <c r="A7" s="15" t="s">
        <v>162</v>
      </c>
      <c r="B7" s="20" t="s">
        <v>114</v>
      </c>
      <c r="C7" s="69" t="s">
        <v>70</v>
      </c>
      <c r="D7" s="68">
        <v>0</v>
      </c>
      <c r="E7" s="17">
        <f>E6-(B7+D7)</f>
        <v>738307.5</v>
      </c>
      <c r="H7" s="456"/>
      <c r="I7" s="457"/>
      <c r="J7" s="457"/>
      <c r="K7" s="458"/>
    </row>
    <row r="8" spans="1:11">
      <c r="A8" s="434" t="s">
        <v>115</v>
      </c>
      <c r="B8" s="436"/>
      <c r="C8" s="21" t="s">
        <v>71</v>
      </c>
      <c r="D8" s="19">
        <v>0</v>
      </c>
      <c r="E8" s="437"/>
      <c r="H8" s="70"/>
      <c r="I8" s="71"/>
      <c r="J8" s="71"/>
      <c r="K8" s="72"/>
    </row>
    <row r="9" spans="1:11">
      <c r="A9" s="22" t="s">
        <v>72</v>
      </c>
      <c r="B9" s="23" t="s">
        <v>73</v>
      </c>
      <c r="C9" s="24" t="s">
        <v>74</v>
      </c>
      <c r="D9" s="25" t="s">
        <v>75</v>
      </c>
      <c r="E9" s="438"/>
      <c r="H9" s="70"/>
      <c r="I9" s="71"/>
      <c r="J9" s="71"/>
      <c r="K9" s="72"/>
    </row>
    <row r="10" spans="1:11" ht="15.75" thickBot="1">
      <c r="A10" s="26">
        <v>0</v>
      </c>
      <c r="B10" s="20">
        <v>0</v>
      </c>
      <c r="C10" s="20">
        <f>IF(control!S31=1,0,Profile!I16)</f>
        <v>0</v>
      </c>
      <c r="D10" s="19">
        <f>D8-(A10+B10+C10)</f>
        <v>0</v>
      </c>
      <c r="E10" s="17">
        <f>E7+IF(AND(D10&lt;0,ABS(D10)&gt;200000),"-200000",D10)</f>
        <v>738307.5</v>
      </c>
      <c r="H10" s="459"/>
      <c r="I10" s="460"/>
      <c r="J10" s="460"/>
      <c r="K10" s="461"/>
    </row>
    <row r="11" spans="1:11" ht="15.75" thickBot="1">
      <c r="A11" s="439" t="s">
        <v>76</v>
      </c>
      <c r="B11" s="440"/>
      <c r="C11" s="440"/>
      <c r="D11" s="440"/>
      <c r="E11" s="441"/>
    </row>
    <row r="12" spans="1:11" ht="15" customHeight="1">
      <c r="A12" s="27" t="s">
        <v>143</v>
      </c>
      <c r="B12" s="27" t="s">
        <v>144</v>
      </c>
      <c r="C12" s="28" t="s">
        <v>145</v>
      </c>
      <c r="D12" s="29" t="s">
        <v>77</v>
      </c>
      <c r="E12" s="30" t="s">
        <v>78</v>
      </c>
      <c r="H12" s="471"/>
      <c r="I12" s="465" t="s">
        <v>195</v>
      </c>
      <c r="J12" s="465"/>
      <c r="K12" s="466"/>
    </row>
    <row r="13" spans="1:11" ht="15" customHeight="1">
      <c r="A13" s="31">
        <f>Profile!L13</f>
        <v>0</v>
      </c>
      <c r="B13" s="19">
        <f>Profile!I13</f>
        <v>0</v>
      </c>
      <c r="C13" s="19">
        <f>A13</f>
        <v>0</v>
      </c>
      <c r="D13" s="19">
        <f>E13</f>
        <v>0</v>
      </c>
      <c r="E13" s="32">
        <v>0</v>
      </c>
      <c r="H13" s="472"/>
      <c r="I13" s="467"/>
      <c r="J13" s="467"/>
      <c r="K13" s="468"/>
    </row>
    <row r="14" spans="1:11" ht="15" customHeight="1">
      <c r="A14" s="410" t="s">
        <v>79</v>
      </c>
      <c r="B14" s="411"/>
      <c r="C14" s="411"/>
      <c r="D14" s="412"/>
      <c r="E14" s="17">
        <f>E10+A13+B13+C13+D13+E13</f>
        <v>738307.5</v>
      </c>
      <c r="H14" s="472"/>
      <c r="I14" s="467"/>
      <c r="J14" s="467"/>
      <c r="K14" s="468"/>
    </row>
    <row r="15" spans="1:11" ht="15" customHeight="1">
      <c r="A15" s="442" t="s">
        <v>161</v>
      </c>
      <c r="B15" s="443"/>
      <c r="C15" s="443"/>
      <c r="D15" s="443"/>
      <c r="E15" s="444"/>
      <c r="H15" s="472"/>
      <c r="I15" s="467"/>
      <c r="J15" s="467"/>
      <c r="K15" s="468"/>
    </row>
    <row r="16" spans="1:11" ht="15" customHeight="1">
      <c r="A16" s="419" t="str">
        <f>IF(Profile!O6="GPF-2004","GPF 2004","GPF")</f>
        <v>GPF</v>
      </c>
      <c r="B16" s="421"/>
      <c r="C16" s="20">
        <f>IF(control!S31=1,0,IF(Profile!O6="NPS",Salary!R25,Salary!L25))</f>
        <v>0</v>
      </c>
      <c r="D16" s="19" t="s">
        <v>80</v>
      </c>
      <c r="E16" s="20">
        <f>IF(Profile!O6="NPS",Salary!L25,0)</f>
        <v>0</v>
      </c>
      <c r="H16" s="472"/>
      <c r="I16" s="467"/>
      <c r="J16" s="467"/>
      <c r="K16" s="468"/>
    </row>
    <row r="17" spans="1:22" ht="15.75" customHeight="1" thickBot="1">
      <c r="A17" s="419" t="s">
        <v>81</v>
      </c>
      <c r="B17" s="421"/>
      <c r="C17" s="20">
        <f>IF(control!S31=1,0,Salary!N25)</f>
        <v>0</v>
      </c>
      <c r="D17" s="19" t="s">
        <v>82</v>
      </c>
      <c r="E17" s="20">
        <f>IF(control!S31=1,0,control!O9)</f>
        <v>0</v>
      </c>
      <c r="H17" s="473"/>
      <c r="I17" s="469"/>
      <c r="J17" s="469"/>
      <c r="K17" s="470"/>
    </row>
    <row r="18" spans="1:22" ht="15.75" thickBot="1">
      <c r="A18" s="419" t="s">
        <v>83</v>
      </c>
      <c r="B18" s="421"/>
      <c r="C18" s="20">
        <f>IF(control!S31=1,0,control!K20)</f>
        <v>0</v>
      </c>
      <c r="D18" s="33" t="s">
        <v>84</v>
      </c>
      <c r="E18" s="20">
        <f>IF(control!S31=1,0,Profile!F18)</f>
        <v>0</v>
      </c>
    </row>
    <row r="19" spans="1:22">
      <c r="A19" s="419" t="s">
        <v>85</v>
      </c>
      <c r="B19" s="421"/>
      <c r="C19" s="20">
        <f>IF(control!S31=1,0,control!O3)</f>
        <v>0</v>
      </c>
      <c r="D19" s="21" t="s">
        <v>86</v>
      </c>
      <c r="E19" s="20">
        <f>IF(control!S31=1,0,control!O10)</f>
        <v>0</v>
      </c>
      <c r="H19" s="447" t="s">
        <v>196</v>
      </c>
      <c r="I19" s="448"/>
      <c r="J19" s="448"/>
      <c r="K19" s="449"/>
    </row>
    <row r="20" spans="1:22">
      <c r="A20" s="419" t="s">
        <v>8</v>
      </c>
      <c r="B20" s="421"/>
      <c r="C20" s="20">
        <f>IF(control!S31=1,0,control!O4)</f>
        <v>0</v>
      </c>
      <c r="D20" s="21" t="s">
        <v>87</v>
      </c>
      <c r="E20" s="20">
        <v>0</v>
      </c>
      <c r="H20" s="450"/>
      <c r="I20" s="451"/>
      <c r="J20" s="451"/>
      <c r="K20" s="452"/>
    </row>
    <row r="21" spans="1:22">
      <c r="A21" s="433" t="s">
        <v>88</v>
      </c>
      <c r="B21" s="424"/>
      <c r="C21" s="20">
        <f>IF(control!S31=1,0,control!O5)</f>
        <v>0</v>
      </c>
      <c r="D21" s="21" t="s">
        <v>89</v>
      </c>
      <c r="E21" s="20">
        <v>0</v>
      </c>
      <c r="H21" s="450"/>
      <c r="I21" s="451"/>
      <c r="J21" s="451"/>
      <c r="K21" s="452"/>
    </row>
    <row r="22" spans="1:22" ht="15.75" thickBot="1">
      <c r="A22" s="419" t="s">
        <v>7</v>
      </c>
      <c r="B22" s="421"/>
      <c r="C22" s="20">
        <f>IF(control!S31=1,0,control!O6)</f>
        <v>0</v>
      </c>
      <c r="D22" s="21" t="s">
        <v>90</v>
      </c>
      <c r="E22" s="20">
        <v>0</v>
      </c>
      <c r="H22" s="453"/>
      <c r="I22" s="454"/>
      <c r="J22" s="454"/>
      <c r="K22" s="455"/>
    </row>
    <row r="23" spans="1:22">
      <c r="A23" s="419" t="s">
        <v>5</v>
      </c>
      <c r="B23" s="421"/>
      <c r="C23" s="20">
        <f>IF(control!S31=1,0,control!O7)</f>
        <v>0</v>
      </c>
      <c r="D23" s="34" t="s">
        <v>91</v>
      </c>
      <c r="E23" s="20">
        <f>IF(control!S31=1,0,Profile!I18)</f>
        <v>0</v>
      </c>
      <c r="L23" s="66"/>
    </row>
    <row r="24" spans="1:22">
      <c r="A24" s="419" t="s">
        <v>6</v>
      </c>
      <c r="B24" s="421"/>
      <c r="C24" s="20">
        <f>IF(control!S31=1,0,control!O8)</f>
        <v>0</v>
      </c>
      <c r="D24" s="19" t="s">
        <v>92</v>
      </c>
      <c r="E24" s="20">
        <f>IF(control!S31=1,0,Profile!L18)</f>
        <v>0</v>
      </c>
    </row>
    <row r="25" spans="1:22">
      <c r="A25" s="419" t="str">
        <f>CONCATENATE("TOTAL",IF(control!S31=1,"(excluding govt.contri. To NPS)",""))</f>
        <v>TOTAL(excluding govt.contri. To NPS)</v>
      </c>
      <c r="B25" s="420"/>
      <c r="C25" s="420"/>
      <c r="D25" s="421"/>
      <c r="E25" s="18">
        <f>C16+C17+C18+C19+C20+C21+C22+C23+E16+E17+E18+E19+E20+E21+E22+E23</f>
        <v>0</v>
      </c>
    </row>
    <row r="26" spans="1:22">
      <c r="A26" s="427" t="s">
        <v>93</v>
      </c>
      <c r="B26" s="428"/>
      <c r="C26" s="35" t="str">
        <f>IF(control!S31=1,"+US 80CCD(2)","")</f>
        <v>+US 80CCD(2)</v>
      </c>
      <c r="D26" s="36" t="str">
        <f>CONCATENATE(IF(Profile!O6="NPS","Rs.",""),IF(Profile!O6="NPS",E16,""))</f>
        <v/>
      </c>
      <c r="E26" s="37">
        <f>IF(E25&lt;=150000,E25,150000)+IF(Profile!O6="NPS",Salary!L25,"0")</f>
        <v>0</v>
      </c>
    </row>
    <row r="27" spans="1:22">
      <c r="A27" s="413" t="s">
        <v>94</v>
      </c>
      <c r="B27" s="429"/>
      <c r="C27" s="429"/>
      <c r="D27" s="429"/>
      <c r="E27" s="430"/>
    </row>
    <row r="28" spans="1:22">
      <c r="A28" s="419" t="s">
        <v>95</v>
      </c>
      <c r="B28" s="420"/>
      <c r="C28" s="420"/>
      <c r="D28" s="421"/>
      <c r="E28" s="38">
        <v>0</v>
      </c>
    </row>
    <row r="29" spans="1:22">
      <c r="A29" s="419" t="s">
        <v>96</v>
      </c>
      <c r="B29" s="420"/>
      <c r="C29" s="420"/>
      <c r="D29" s="421"/>
      <c r="E29" s="18">
        <f>Profile!C17</f>
        <v>0</v>
      </c>
      <c r="L29" s="116"/>
    </row>
    <row r="30" spans="1:22">
      <c r="A30" s="419" t="s">
        <v>97</v>
      </c>
      <c r="B30" s="420"/>
      <c r="C30" s="420"/>
      <c r="D30" s="421"/>
      <c r="E30" s="18">
        <f>Profile!C18</f>
        <v>0</v>
      </c>
      <c r="T30" s="236" t="s">
        <v>438</v>
      </c>
      <c r="U30" s="237" t="s">
        <v>439</v>
      </c>
      <c r="V30" s="238" t="s">
        <v>440</v>
      </c>
    </row>
    <row r="31" spans="1:22">
      <c r="A31" s="419" t="s">
        <v>98</v>
      </c>
      <c r="B31" s="420"/>
      <c r="C31" s="420"/>
      <c r="D31" s="421"/>
      <c r="E31" s="18">
        <v>0</v>
      </c>
      <c r="T31" s="4" t="s">
        <v>441</v>
      </c>
      <c r="U31" s="239">
        <v>0</v>
      </c>
      <c r="V31" s="239">
        <v>0</v>
      </c>
    </row>
    <row r="32" spans="1:22">
      <c r="A32" s="419" t="s">
        <v>11</v>
      </c>
      <c r="B32" s="420"/>
      <c r="C32" s="420"/>
      <c r="D32" s="421"/>
      <c r="E32" s="18">
        <f>Profile!F17</f>
        <v>0</v>
      </c>
      <c r="T32" s="4" t="s">
        <v>442</v>
      </c>
      <c r="U32" s="239">
        <v>0.05</v>
      </c>
      <c r="V32" s="239">
        <v>0.05</v>
      </c>
    </row>
    <row r="33" spans="1:22">
      <c r="A33" s="419" t="s">
        <v>99</v>
      </c>
      <c r="B33" s="420"/>
      <c r="C33" s="420"/>
      <c r="D33" s="421"/>
      <c r="E33" s="18">
        <f>Profile!I17</f>
        <v>0</v>
      </c>
      <c r="T33" s="4" t="s">
        <v>443</v>
      </c>
      <c r="U33" s="239">
        <v>0.2</v>
      </c>
      <c r="V33" s="239">
        <v>0.1</v>
      </c>
    </row>
    <row r="34" spans="1:22">
      <c r="A34" s="422" t="s">
        <v>159</v>
      </c>
      <c r="B34" s="423"/>
      <c r="C34" s="423"/>
      <c r="D34" s="424"/>
      <c r="E34" s="18">
        <v>0</v>
      </c>
      <c r="T34" s="4" t="s">
        <v>444</v>
      </c>
      <c r="U34" s="239">
        <v>0.2</v>
      </c>
      <c r="V34" s="239">
        <v>0.15</v>
      </c>
    </row>
    <row r="35" spans="1:22">
      <c r="A35" s="422" t="s">
        <v>160</v>
      </c>
      <c r="B35" s="423"/>
      <c r="C35" s="423"/>
      <c r="D35" s="424"/>
      <c r="E35" s="18">
        <v>0</v>
      </c>
      <c r="T35" s="4" t="s">
        <v>445</v>
      </c>
      <c r="U35" s="239">
        <v>0.3</v>
      </c>
      <c r="V35" s="239">
        <v>0.2</v>
      </c>
    </row>
    <row r="36" spans="1:22">
      <c r="A36" s="419" t="s">
        <v>100</v>
      </c>
      <c r="B36" s="420"/>
      <c r="C36" s="420"/>
      <c r="D36" s="421"/>
      <c r="E36" s="18">
        <f>Profile!I19</f>
        <v>0</v>
      </c>
      <c r="T36" s="4" t="s">
        <v>446</v>
      </c>
      <c r="U36" s="239">
        <v>0.3</v>
      </c>
      <c r="V36" s="239">
        <v>0.25</v>
      </c>
    </row>
    <row r="37" spans="1:22">
      <c r="A37" s="419" t="s">
        <v>9</v>
      </c>
      <c r="B37" s="420"/>
      <c r="C37" s="420"/>
      <c r="D37" s="421"/>
      <c r="E37" s="18">
        <f>Profile!L19</f>
        <v>0</v>
      </c>
      <c r="T37" s="4" t="s">
        <v>447</v>
      </c>
      <c r="U37" s="239">
        <v>0.3</v>
      </c>
      <c r="V37" s="239">
        <v>0.3</v>
      </c>
    </row>
    <row r="38" spans="1:22">
      <c r="A38" s="419" t="s">
        <v>101</v>
      </c>
      <c r="B38" s="420"/>
      <c r="C38" s="420"/>
      <c r="D38" s="421"/>
      <c r="E38" s="18">
        <f>Profile!L17</f>
        <v>0</v>
      </c>
      <c r="O38" s="116"/>
      <c r="R38" s="260"/>
    </row>
    <row r="39" spans="1:22">
      <c r="A39" s="410" t="s">
        <v>156</v>
      </c>
      <c r="B39" s="411"/>
      <c r="C39" s="411"/>
      <c r="D39" s="412"/>
      <c r="E39" s="37">
        <f>E26+E28+E29+E30+E31+E32+E33+E34+E35+E36+E37+E38</f>
        <v>0</v>
      </c>
      <c r="O39" s="116"/>
      <c r="R39" s="260"/>
    </row>
    <row r="40" spans="1:22">
      <c r="A40" s="416" t="s">
        <v>102</v>
      </c>
      <c r="B40" s="411"/>
      <c r="C40" s="411"/>
      <c r="D40" s="412"/>
      <c r="E40" s="39">
        <f>ROUND((E14-E39),-1)</f>
        <v>738310</v>
      </c>
      <c r="O40" s="116"/>
      <c r="R40" s="260"/>
    </row>
    <row r="41" spans="1:22" hidden="1">
      <c r="A41" s="40" t="s">
        <v>103</v>
      </c>
      <c r="B41" s="41"/>
      <c r="C41" s="41">
        <f>ROUND(IF(E40&lt;=300000,0,IF(E40&lt;=700000,(E40-300000)*0.05,IF(E40&lt;=1000000,20000+(E40-700000)*0.1,IF(E40&lt;=1200000,50000+(E40-1000000)*0.15,IF(E40&lt;=1500000,80000+(E40-1200000)*0.2,IF(E40&gt;=1500000,140000+(E40-1500000)*0.3,"0")))))),0)</f>
        <v>23831</v>
      </c>
      <c r="D41" s="41">
        <f>IF(E40&lt;=500000,C42,C41)</f>
        <v>23831</v>
      </c>
      <c r="E41" s="37">
        <f>ROUND(IF(E40&lt;=250000,0,IF(E40&lt;=500000,(E40-250000)*0.05,IF(E40&lt;=1000000,12500+(E40-500000)*0.2,IF(E40&gt;1000000,112500+(E40-1000000)*0.3,"0")))),0)</f>
        <v>60162</v>
      </c>
    </row>
    <row r="42" spans="1:22" hidden="1">
      <c r="A42" s="42" t="s">
        <v>104</v>
      </c>
      <c r="B42" s="41"/>
      <c r="C42" s="41">
        <f>IF(AND(E40&lt;=700000,C41&gt;=25000),C41-25000,IF(AND(E40&lt;=700000,C41&lt;25000),0,C41))</f>
        <v>23831</v>
      </c>
      <c r="D42" s="817">
        <f>E46-E45</f>
        <v>23831</v>
      </c>
      <c r="E42" s="37">
        <f>IF(AND(E40&lt;=500000,E41&gt;=12500),E41-12500,IF(AND(E40&lt;=500000,E41&lt;12500),0,E41))</f>
        <v>60162</v>
      </c>
    </row>
    <row r="43" spans="1:22" hidden="1">
      <c r="A43" s="812" t="s">
        <v>489</v>
      </c>
      <c r="B43" s="813"/>
      <c r="C43" s="813"/>
      <c r="D43" s="813"/>
      <c r="E43" s="813">
        <f>IF(E40&lt;=700000,E46,0)</f>
        <v>0</v>
      </c>
      <c r="F43" s="811"/>
      <c r="G43" s="811"/>
      <c r="H43" s="811"/>
      <c r="I43" s="811"/>
      <c r="J43" s="811"/>
      <c r="K43" s="811"/>
      <c r="L43" s="811"/>
      <c r="M43" s="811"/>
    </row>
    <row r="44" spans="1:22" hidden="1">
      <c r="A44" s="812" t="s">
        <v>490</v>
      </c>
      <c r="B44" s="813"/>
      <c r="C44" s="813"/>
      <c r="D44" s="813"/>
      <c r="E44" s="813">
        <f>IF(AND(AI54=1,AJ56&gt;0),ROUND(E46-AJ54,0),IF(AND(AI54=2,AJ56&gt;0),ROUND(AH59-AK54+AE56,0),IF(AND(AI54=3,AJ56&gt;0),ROUND(AH60-AL54+AE56,0),0)))</f>
        <v>0</v>
      </c>
      <c r="F44" s="811"/>
      <c r="G44" s="811"/>
      <c r="H44" s="811"/>
      <c r="I44" s="811"/>
      <c r="J44" s="811"/>
      <c r="K44" s="811"/>
      <c r="L44" s="811"/>
      <c r="M44" s="811"/>
    </row>
    <row r="45" spans="1:22" ht="26.25" hidden="1" customHeight="1">
      <c r="A45" s="814" t="s">
        <v>491</v>
      </c>
      <c r="B45" s="815"/>
      <c r="C45" s="815"/>
      <c r="D45" s="816"/>
      <c r="E45" s="813">
        <f>SUM(E43:E44)</f>
        <v>0</v>
      </c>
      <c r="F45" s="811"/>
      <c r="G45" s="811"/>
      <c r="H45" s="811"/>
      <c r="I45" s="811"/>
      <c r="J45" s="811"/>
      <c r="K45" s="811"/>
      <c r="L45" s="811"/>
      <c r="M45" s="811"/>
    </row>
    <row r="46" spans="1:22" hidden="1">
      <c r="A46" s="410" t="s">
        <v>116</v>
      </c>
      <c r="B46" s="411"/>
      <c r="C46" s="411"/>
      <c r="D46" s="412"/>
      <c r="E46" s="39">
        <f>IF(control!S31=1,C42,IF(E40&lt;=500000,E42,E41))</f>
        <v>23831</v>
      </c>
      <c r="O46" s="116"/>
      <c r="R46" s="260"/>
    </row>
    <row r="47" spans="1:22">
      <c r="A47" s="410" t="s">
        <v>116</v>
      </c>
      <c r="B47" s="411"/>
      <c r="C47" s="411"/>
      <c r="D47" s="412"/>
      <c r="E47" s="39">
        <f>IF(control!S31=1,D42,IF(E40&lt;=500000,E42,E41))</f>
        <v>23831</v>
      </c>
      <c r="O47" s="116"/>
      <c r="R47" s="260"/>
    </row>
    <row r="48" spans="1:22">
      <c r="A48" s="425" t="s">
        <v>157</v>
      </c>
      <c r="B48" s="426"/>
      <c r="C48" s="426"/>
      <c r="D48" s="43">
        <f>ROUND((E47*0.04),0)</f>
        <v>953</v>
      </c>
      <c r="E48" s="39">
        <f>D48</f>
        <v>953</v>
      </c>
      <c r="O48" s="116"/>
      <c r="R48" s="260"/>
    </row>
    <row r="49" spans="1:38">
      <c r="A49" s="410" t="s">
        <v>105</v>
      </c>
      <c r="B49" s="411"/>
      <c r="C49" s="411"/>
      <c r="D49" s="412"/>
      <c r="E49" s="39">
        <f>SUM(E47:E48)</f>
        <v>24784</v>
      </c>
      <c r="O49" s="116"/>
      <c r="P49" s="116"/>
      <c r="R49" s="260"/>
    </row>
    <row r="50" spans="1:38">
      <c r="A50" s="419" t="s">
        <v>106</v>
      </c>
      <c r="B50" s="420"/>
      <c r="C50" s="420"/>
      <c r="D50" s="421"/>
      <c r="E50" s="18">
        <f>Profile!C15</f>
        <v>0</v>
      </c>
    </row>
    <row r="51" spans="1:38">
      <c r="A51" s="410" t="s">
        <v>107</v>
      </c>
      <c r="B51" s="411"/>
      <c r="C51" s="411"/>
      <c r="D51" s="412"/>
      <c r="E51" s="39">
        <f>E49-E50</f>
        <v>24784</v>
      </c>
      <c r="T51" s="115"/>
    </row>
    <row r="52" spans="1:38" ht="16.5" customHeight="1">
      <c r="A52" s="413" t="s">
        <v>108</v>
      </c>
      <c r="B52" s="414"/>
      <c r="C52" s="414"/>
      <c r="D52" s="414"/>
      <c r="E52" s="415"/>
    </row>
    <row r="53" spans="1:38">
      <c r="A53" s="44" t="s">
        <v>472</v>
      </c>
      <c r="B53" s="45">
        <f>control!B17</f>
        <v>12000</v>
      </c>
      <c r="C53" s="44" t="s">
        <v>478</v>
      </c>
      <c r="D53" s="19">
        <f>control!H17</f>
        <v>12000</v>
      </c>
      <c r="E53" s="46" t="s">
        <v>109</v>
      </c>
    </row>
    <row r="54" spans="1:38">
      <c r="A54" s="44" t="s">
        <v>473</v>
      </c>
      <c r="B54" s="45">
        <f>control!C17</f>
        <v>12000</v>
      </c>
      <c r="C54" s="47" t="s">
        <v>479</v>
      </c>
      <c r="D54" s="19">
        <f>control!I17</f>
        <v>12000</v>
      </c>
      <c r="E54" s="18">
        <f>Profile!C26</f>
        <v>0</v>
      </c>
      <c r="AI54" s="3">
        <f>IF(E40&gt;10000000,3,IF(E40&gt;5000000,2,IF(E40&gt;700000,1,0)))</f>
        <v>1</v>
      </c>
      <c r="AJ54" s="3">
        <f>IF(AI54=1,E40-700000,0)</f>
        <v>38310</v>
      </c>
      <c r="AK54" s="3">
        <f>IF(AI54=2,E40-5000000,0)</f>
        <v>0</v>
      </c>
      <c r="AL54" s="3">
        <f>IF(AI54=3,E40-10000000,0)</f>
        <v>0</v>
      </c>
    </row>
    <row r="55" spans="1:38">
      <c r="A55" s="48" t="s">
        <v>474</v>
      </c>
      <c r="B55" s="45">
        <f>control!D17</f>
        <v>12000</v>
      </c>
      <c r="C55" s="21" t="s">
        <v>480</v>
      </c>
      <c r="D55" s="19">
        <f>control!J17</f>
        <v>0</v>
      </c>
      <c r="E55" s="18">
        <f>Profile!C27</f>
        <v>0</v>
      </c>
    </row>
    <row r="56" spans="1:38">
      <c r="A56" s="44" t="s">
        <v>475</v>
      </c>
      <c r="B56" s="45">
        <f>control!E17</f>
        <v>12000</v>
      </c>
      <c r="C56" s="21" t="s">
        <v>481</v>
      </c>
      <c r="D56" s="19">
        <f>control!K17</f>
        <v>0</v>
      </c>
      <c r="E56" s="18">
        <f>Profile!C28</f>
        <v>0</v>
      </c>
      <c r="AE56" s="3">
        <f>IF(E40&gt;20000000,AH56*0.25,IF(E40&gt;10000000,AH*0.15,IF(E40&gt;5000000,AH56*0.1,0)))</f>
        <v>0</v>
      </c>
      <c r="AH56" s="116">
        <f>E46</f>
        <v>23831</v>
      </c>
      <c r="AJ56" s="3">
        <f>IF(AND(AI54=1,AJ54&lt;=AH56),AJ54,IF(AND(AI54=2,AK54&lt;=AH59),AK54+1200000,IF(AND(AI54=3,AL54&lt;=AH60),AK54+2970000+AL56,0)))</f>
        <v>0</v>
      </c>
      <c r="AL56" s="3">
        <f>ROUND(AL54*0.3,0)</f>
        <v>0</v>
      </c>
    </row>
    <row r="57" spans="1:38">
      <c r="A57" s="44" t="s">
        <v>476</v>
      </c>
      <c r="B57" s="45">
        <f>control!F17</f>
        <v>12000</v>
      </c>
      <c r="C57" s="21" t="s">
        <v>482</v>
      </c>
      <c r="D57" s="19">
        <f>control!L17</f>
        <v>0</v>
      </c>
      <c r="E57" s="18"/>
    </row>
    <row r="58" spans="1:38">
      <c r="A58" s="44" t="s">
        <v>477</v>
      </c>
      <c r="B58" s="45">
        <f>control!G17</f>
        <v>12000</v>
      </c>
      <c r="C58" s="21" t="s">
        <v>483</v>
      </c>
      <c r="D58" s="19">
        <f>control!M17</f>
        <v>0</v>
      </c>
      <c r="E58" s="18"/>
    </row>
    <row r="59" spans="1:38">
      <c r="A59" s="410" t="s">
        <v>110</v>
      </c>
      <c r="B59" s="411"/>
      <c r="C59" s="411"/>
      <c r="D59" s="412"/>
      <c r="E59" s="37">
        <f>SUM(B53:B58)+SUM(D53:D58)+E54+E55+E56</f>
        <v>96000</v>
      </c>
      <c r="AH59" s="3">
        <f>IF(AH56&lt;1200000,0,AH56-1200000)</f>
        <v>0</v>
      </c>
    </row>
    <row r="60" spans="1:38">
      <c r="A60" s="416" t="s">
        <v>111</v>
      </c>
      <c r="B60" s="411"/>
      <c r="C60" s="411"/>
      <c r="D60" s="412"/>
      <c r="E60" s="49" t="str">
        <f>IF(E51&gt;E59,E51-E59,"0")</f>
        <v>0</v>
      </c>
      <c r="AH60" s="3">
        <f>IF(AH56&lt;2970000,0,AH56-2970000)</f>
        <v>0</v>
      </c>
    </row>
    <row r="61" spans="1:38" ht="15.75" thickBot="1">
      <c r="A61" s="417" t="s">
        <v>112</v>
      </c>
      <c r="B61" s="418"/>
      <c r="C61" s="418"/>
      <c r="D61" s="418"/>
      <c r="E61" s="50">
        <f>IF(E59&gt;E51,E51-E59,"0")</f>
        <v>-71216</v>
      </c>
    </row>
    <row r="62" spans="1:38">
      <c r="A62" s="51"/>
      <c r="B62" s="51"/>
      <c r="C62" s="51"/>
      <c r="D62" s="51"/>
      <c r="E62" s="51"/>
    </row>
    <row r="63" spans="1:38">
      <c r="A63" s="51"/>
      <c r="B63" s="51"/>
      <c r="C63" s="51"/>
      <c r="D63" s="51"/>
      <c r="E63" s="51"/>
    </row>
    <row r="64" spans="1:38">
      <c r="A64" s="52" t="s">
        <v>117</v>
      </c>
      <c r="B64" s="51"/>
      <c r="C64" s="51"/>
      <c r="D64" s="51"/>
      <c r="E64" s="268" t="s">
        <v>113</v>
      </c>
    </row>
  </sheetData>
  <sheetProtection algorithmName="SHA-512" hashValue="mevlsYdZYW5QZIwhW9WvpQw4eUNtcwyqOzA7pNTA3ZFNy33uW6+hFYVSxxDZ7fPoLbaYy0+fVg+6vV6oI5UIjw==" saltValue="raHf9eQvxHgnVBTI1ejFMg==" spinCount="100000" sheet="1" objects="1" scenarios="1"/>
  <mergeCells count="54">
    <mergeCell ref="A46:D46"/>
    <mergeCell ref="A47:D47"/>
    <mergeCell ref="H19:K22"/>
    <mergeCell ref="H7:K7"/>
    <mergeCell ref="H10:K10"/>
    <mergeCell ref="B4:C4"/>
    <mergeCell ref="D2:E2"/>
    <mergeCell ref="A2:B2"/>
    <mergeCell ref="I12:K17"/>
    <mergeCell ref="H12:H17"/>
    <mergeCell ref="A1:D1"/>
    <mergeCell ref="A21:B21"/>
    <mergeCell ref="A6:C6"/>
    <mergeCell ref="A8:B8"/>
    <mergeCell ref="E8:E9"/>
    <mergeCell ref="A11:E11"/>
    <mergeCell ref="A14:D14"/>
    <mergeCell ref="A15:E15"/>
    <mergeCell ref="A16:B16"/>
    <mergeCell ref="A17:B17"/>
    <mergeCell ref="A18:B18"/>
    <mergeCell ref="A19:B19"/>
    <mergeCell ref="A20:B20"/>
    <mergeCell ref="A5:C5"/>
    <mergeCell ref="B3:C3"/>
    <mergeCell ref="D3:E3"/>
    <mergeCell ref="A33:D33"/>
    <mergeCell ref="A22:B22"/>
    <mergeCell ref="A23:B23"/>
    <mergeCell ref="A24:B24"/>
    <mergeCell ref="A25:D25"/>
    <mergeCell ref="A26:B26"/>
    <mergeCell ref="A27:E27"/>
    <mergeCell ref="A28:D28"/>
    <mergeCell ref="A29:D29"/>
    <mergeCell ref="A30:D30"/>
    <mergeCell ref="A31:D31"/>
    <mergeCell ref="A32:D32"/>
    <mergeCell ref="A50:D50"/>
    <mergeCell ref="A34:D34"/>
    <mergeCell ref="A35:D35"/>
    <mergeCell ref="A36:D36"/>
    <mergeCell ref="A37:D37"/>
    <mergeCell ref="A38:D38"/>
    <mergeCell ref="A39:D39"/>
    <mergeCell ref="A40:D40"/>
    <mergeCell ref="A48:C48"/>
    <mergeCell ref="A49:D49"/>
    <mergeCell ref="A45:D45"/>
    <mergeCell ref="A51:D51"/>
    <mergeCell ref="A52:E52"/>
    <mergeCell ref="A59:D59"/>
    <mergeCell ref="A60:D60"/>
    <mergeCell ref="A61:D61"/>
  </mergeCells>
  <dataValidations count="1">
    <dataValidation allowBlank="1" showInputMessage="1" showErrorMessage="1" promptTitle="Keshav:" prompt="Don't fill if New Tax Regime has been selected." sqref="D7" xr:uid="{9F42A9C9-18A4-44CE-96D6-3C62580D756D}"/>
  </dataValidations>
  <pageMargins left="0.55100000000000005" right="0.314" top="0.19600000000000001" bottom="0.19600000000000001" header="0.314" footer="0"/>
  <pageSetup paperSize="9" scale="9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Option Button 2">
              <controlPr defaultSize="0" autoFill="0" autoLine="0" autoPict="0">
                <anchor moveWithCells="1">
                  <from>
                    <xdr:col>9</xdr:col>
                    <xdr:colOff>19050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5" name="Option Button 1">
              <controlPr defaultSize="0" autoFill="0" autoLine="0" autoPict="0">
                <anchor moveWithCells="1">
                  <from>
                    <xdr:col>7</xdr:col>
                    <xdr:colOff>0</xdr:colOff>
                    <xdr:row>7</xdr:row>
                    <xdr:rowOff>9525</xdr:rowOff>
                  </from>
                  <to>
                    <xdr:col>9</xdr:col>
                    <xdr:colOff>0</xdr:colOff>
                    <xdr:row>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6B8C0-D232-4AA4-830E-3C64E59A9E6E}">
  <sheetPr codeName="Sheet6">
    <tabColor rgb="FF92D050"/>
  </sheetPr>
  <dimension ref="A1:T20"/>
  <sheetViews>
    <sheetView workbookViewId="0">
      <selection activeCell="Y18" sqref="Y18"/>
    </sheetView>
  </sheetViews>
  <sheetFormatPr defaultColWidth="9.140625" defaultRowHeight="15"/>
  <cols>
    <col min="1" max="14" width="6.42578125" style="211" customWidth="1"/>
    <col min="15" max="15" width="8.7109375" style="211" hidden="1" customWidth="1"/>
    <col min="16" max="16384" width="9.140625" style="211"/>
  </cols>
  <sheetData>
    <row r="1" spans="1:20" ht="20.25" customHeight="1">
      <c r="A1" s="474" t="s">
        <v>363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6"/>
      <c r="O1" s="209" t="s">
        <v>364</v>
      </c>
      <c r="P1" s="210"/>
      <c r="Q1" s="477" t="s">
        <v>365</v>
      </c>
      <c r="R1" s="478"/>
      <c r="S1" s="478"/>
      <c r="T1" s="479"/>
    </row>
    <row r="2" spans="1:20" ht="20.25" customHeight="1" thickBot="1">
      <c r="A2" s="483" t="s">
        <v>0</v>
      </c>
      <c r="B2" s="484"/>
      <c r="C2" s="485"/>
      <c r="D2" s="486" t="str">
        <f>Profile!C4</f>
        <v>KAILASH CHANDRA SHARMA</v>
      </c>
      <c r="E2" s="487"/>
      <c r="F2" s="487"/>
      <c r="G2" s="487"/>
      <c r="H2" s="487"/>
      <c r="I2" s="487"/>
      <c r="J2" s="487"/>
      <c r="K2" s="487"/>
      <c r="L2" s="487"/>
      <c r="M2" s="487"/>
      <c r="N2" s="488"/>
      <c r="O2" s="212" t="s">
        <v>366</v>
      </c>
      <c r="P2" s="210"/>
      <c r="Q2" s="480"/>
      <c r="R2" s="481"/>
      <c r="S2" s="481"/>
      <c r="T2" s="482"/>
    </row>
    <row r="3" spans="1:20" ht="20.25" customHeight="1" thickBot="1">
      <c r="A3" s="483" t="s">
        <v>367</v>
      </c>
      <c r="B3" s="484"/>
      <c r="C3" s="485"/>
      <c r="D3" s="489"/>
      <c r="E3" s="490"/>
      <c r="F3" s="490"/>
      <c r="G3" s="490"/>
      <c r="H3" s="490"/>
      <c r="I3" s="490"/>
      <c r="J3" s="490"/>
      <c r="K3" s="490"/>
      <c r="L3" s="490"/>
      <c r="M3" s="490"/>
      <c r="N3" s="491"/>
      <c r="O3" s="212">
        <v>2</v>
      </c>
      <c r="P3" s="213"/>
      <c r="Q3" s="214"/>
      <c r="R3" s="215"/>
      <c r="S3" s="215"/>
      <c r="T3" s="216"/>
    </row>
    <row r="4" spans="1:20" ht="18.75" customHeight="1">
      <c r="A4" s="483" t="s">
        <v>352</v>
      </c>
      <c r="B4" s="484"/>
      <c r="C4" s="485"/>
      <c r="D4" s="492"/>
      <c r="E4" s="493"/>
      <c r="F4" s="493"/>
      <c r="G4" s="494"/>
      <c r="H4" s="495" t="s">
        <v>368</v>
      </c>
      <c r="I4" s="484"/>
      <c r="J4" s="484"/>
      <c r="K4" s="485"/>
      <c r="L4" s="496"/>
      <c r="M4" s="497"/>
      <c r="N4" s="498"/>
      <c r="O4" s="217"/>
      <c r="P4" s="210"/>
      <c r="Q4" s="477" t="s">
        <v>369</v>
      </c>
      <c r="R4" s="478"/>
      <c r="S4" s="478"/>
      <c r="T4" s="479"/>
    </row>
    <row r="5" spans="1:20" ht="15" customHeight="1">
      <c r="A5" s="502" t="s">
        <v>370</v>
      </c>
      <c r="B5" s="503"/>
      <c r="C5" s="503"/>
      <c r="D5" s="503"/>
      <c r="E5" s="503"/>
      <c r="F5" s="503"/>
      <c r="G5" s="503"/>
      <c r="H5" s="503"/>
      <c r="I5" s="503"/>
      <c r="J5" s="503"/>
      <c r="K5" s="504"/>
      <c r="L5" s="505" t="s">
        <v>371</v>
      </c>
      <c r="M5" s="506"/>
      <c r="N5" s="507"/>
      <c r="O5" s="215"/>
      <c r="P5" s="210"/>
      <c r="Q5" s="499"/>
      <c r="R5" s="500"/>
      <c r="S5" s="500"/>
      <c r="T5" s="501"/>
    </row>
    <row r="6" spans="1:20" ht="21" customHeight="1" thickBot="1">
      <c r="A6" s="508" t="s">
        <v>375</v>
      </c>
      <c r="B6" s="509"/>
      <c r="C6" s="509"/>
      <c r="D6" s="509"/>
      <c r="E6" s="509"/>
      <c r="F6" s="509"/>
      <c r="G6" s="509"/>
      <c r="H6" s="509"/>
      <c r="I6" s="509"/>
      <c r="J6" s="509"/>
      <c r="K6" s="510"/>
      <c r="L6" s="511">
        <v>489520</v>
      </c>
      <c r="M6" s="512"/>
      <c r="N6" s="513"/>
      <c r="P6" s="210"/>
      <c r="Q6" s="480"/>
      <c r="R6" s="481"/>
      <c r="S6" s="481"/>
      <c r="T6" s="482"/>
    </row>
    <row r="7" spans="1:20" ht="21" customHeight="1" thickBot="1">
      <c r="A7" s="514" t="s">
        <v>376</v>
      </c>
      <c r="B7" s="515"/>
      <c r="C7" s="515"/>
      <c r="D7" s="515"/>
      <c r="E7" s="515"/>
      <c r="F7" s="515"/>
      <c r="G7" s="515"/>
      <c r="H7" s="515"/>
      <c r="I7" s="515"/>
      <c r="J7" s="515"/>
      <c r="K7" s="516"/>
      <c r="L7" s="517">
        <v>0</v>
      </c>
      <c r="M7" s="518"/>
      <c r="N7" s="519"/>
      <c r="P7" s="213"/>
      <c r="Q7" s="218"/>
      <c r="R7" s="219"/>
      <c r="S7" s="219"/>
      <c r="T7" s="220"/>
    </row>
    <row r="8" spans="1:20" ht="21" customHeight="1">
      <c r="A8" s="502" t="s">
        <v>372</v>
      </c>
      <c r="B8" s="503"/>
      <c r="C8" s="503"/>
      <c r="D8" s="503"/>
      <c r="E8" s="503"/>
      <c r="F8" s="503"/>
      <c r="G8" s="503"/>
      <c r="H8" s="503"/>
      <c r="I8" s="503"/>
      <c r="J8" s="503"/>
      <c r="K8" s="504"/>
      <c r="L8" s="505" t="s">
        <v>371</v>
      </c>
      <c r="M8" s="506"/>
      <c r="N8" s="507"/>
      <c r="P8" s="210"/>
      <c r="Q8" s="477" t="s">
        <v>373</v>
      </c>
      <c r="R8" s="478"/>
      <c r="S8" s="478"/>
      <c r="T8" s="479"/>
    </row>
    <row r="9" spans="1:20" ht="21" customHeight="1">
      <c r="A9" s="508" t="s">
        <v>378</v>
      </c>
      <c r="B9" s="509"/>
      <c r="C9" s="509"/>
      <c r="D9" s="509"/>
      <c r="E9" s="509"/>
      <c r="F9" s="509"/>
      <c r="G9" s="509"/>
      <c r="H9" s="509"/>
      <c r="I9" s="509"/>
      <c r="J9" s="509"/>
      <c r="K9" s="510"/>
      <c r="L9" s="511">
        <v>53009</v>
      </c>
      <c r="M9" s="512"/>
      <c r="N9" s="513"/>
      <c r="P9" s="210"/>
      <c r="Q9" s="499"/>
      <c r="R9" s="500"/>
      <c r="S9" s="500"/>
      <c r="T9" s="501"/>
    </row>
    <row r="10" spans="1:20" ht="21" customHeight="1" thickBot="1">
      <c r="A10" s="514" t="s">
        <v>379</v>
      </c>
      <c r="B10" s="515"/>
      <c r="C10" s="515"/>
      <c r="D10" s="515"/>
      <c r="E10" s="515"/>
      <c r="F10" s="515"/>
      <c r="G10" s="515"/>
      <c r="H10" s="515"/>
      <c r="I10" s="515"/>
      <c r="J10" s="515"/>
      <c r="K10" s="516"/>
      <c r="L10" s="517">
        <v>0</v>
      </c>
      <c r="M10" s="518"/>
      <c r="N10" s="519"/>
      <c r="P10" s="210"/>
      <c r="Q10" s="480"/>
      <c r="R10" s="481"/>
      <c r="S10" s="481"/>
      <c r="T10" s="482"/>
    </row>
    <row r="11" spans="1:20" ht="21" customHeight="1" thickBot="1">
      <c r="A11" s="502" t="s">
        <v>374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4"/>
      <c r="L11" s="505" t="s">
        <v>371</v>
      </c>
      <c r="M11" s="506"/>
      <c r="N11" s="507"/>
      <c r="P11" s="213"/>
      <c r="Q11" s="214"/>
      <c r="R11" s="215"/>
      <c r="S11" s="215"/>
      <c r="T11" s="216"/>
    </row>
    <row r="12" spans="1:20" ht="21" customHeight="1">
      <c r="A12" s="508" t="s">
        <v>418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10"/>
      <c r="L12" s="511">
        <v>802296</v>
      </c>
      <c r="M12" s="512"/>
      <c r="N12" s="513"/>
      <c r="P12" s="210"/>
      <c r="Q12" s="477" t="s">
        <v>417</v>
      </c>
      <c r="R12" s="478"/>
      <c r="S12" s="478"/>
      <c r="T12" s="479"/>
    </row>
    <row r="13" spans="1:20" ht="21" customHeight="1">
      <c r="A13" s="514" t="s">
        <v>419</v>
      </c>
      <c r="B13" s="515"/>
      <c r="C13" s="515"/>
      <c r="D13" s="515"/>
      <c r="E13" s="515"/>
      <c r="F13" s="515"/>
      <c r="G13" s="515"/>
      <c r="H13" s="515"/>
      <c r="I13" s="515"/>
      <c r="J13" s="515"/>
      <c r="K13" s="516"/>
      <c r="L13" s="517">
        <v>0</v>
      </c>
      <c r="M13" s="518"/>
      <c r="N13" s="519"/>
      <c r="P13" s="210"/>
      <c r="Q13" s="499"/>
      <c r="R13" s="500"/>
      <c r="S13" s="500"/>
      <c r="T13" s="501"/>
    </row>
    <row r="14" spans="1:20" ht="21" customHeight="1">
      <c r="A14" s="502" t="s">
        <v>377</v>
      </c>
      <c r="B14" s="503"/>
      <c r="C14" s="503"/>
      <c r="D14" s="503"/>
      <c r="E14" s="503"/>
      <c r="F14" s="503"/>
      <c r="G14" s="503"/>
      <c r="H14" s="503"/>
      <c r="I14" s="503"/>
      <c r="J14" s="503"/>
      <c r="K14" s="504"/>
      <c r="L14" s="505" t="s">
        <v>371</v>
      </c>
      <c r="M14" s="506"/>
      <c r="N14" s="507"/>
      <c r="P14" s="210"/>
      <c r="Q14" s="499"/>
      <c r="R14" s="500"/>
      <c r="S14" s="500"/>
      <c r="T14" s="501"/>
    </row>
    <row r="15" spans="1:20" ht="21" customHeight="1">
      <c r="A15" s="508" t="s">
        <v>420</v>
      </c>
      <c r="B15" s="509"/>
      <c r="C15" s="509"/>
      <c r="D15" s="509"/>
      <c r="E15" s="509"/>
      <c r="F15" s="509"/>
      <c r="G15" s="509"/>
      <c r="H15" s="509"/>
      <c r="I15" s="509"/>
      <c r="J15" s="509"/>
      <c r="K15" s="510"/>
      <c r="L15" s="511">
        <v>718752</v>
      </c>
      <c r="M15" s="512"/>
      <c r="N15" s="513"/>
      <c r="P15" s="210"/>
      <c r="Q15" s="499"/>
      <c r="R15" s="500"/>
      <c r="S15" s="500"/>
      <c r="T15" s="501"/>
    </row>
    <row r="16" spans="1:20" ht="21" customHeight="1">
      <c r="A16" s="514" t="s">
        <v>421</v>
      </c>
      <c r="B16" s="515"/>
      <c r="C16" s="515"/>
      <c r="D16" s="515"/>
      <c r="E16" s="515"/>
      <c r="F16" s="515"/>
      <c r="G16" s="515"/>
      <c r="H16" s="515"/>
      <c r="I16" s="515"/>
      <c r="J16" s="515"/>
      <c r="K16" s="516"/>
      <c r="L16" s="517">
        <v>39548</v>
      </c>
      <c r="M16" s="518"/>
      <c r="N16" s="519"/>
      <c r="P16" s="210"/>
      <c r="Q16" s="499"/>
      <c r="R16" s="500"/>
      <c r="S16" s="500"/>
      <c r="T16" s="501"/>
    </row>
    <row r="17" spans="1:20" ht="21" customHeight="1">
      <c r="A17" s="502" t="s">
        <v>380</v>
      </c>
      <c r="B17" s="503"/>
      <c r="C17" s="503"/>
      <c r="D17" s="503"/>
      <c r="E17" s="503"/>
      <c r="F17" s="503"/>
      <c r="G17" s="503"/>
      <c r="H17" s="503"/>
      <c r="I17" s="503"/>
      <c r="J17" s="503"/>
      <c r="K17" s="504"/>
      <c r="L17" s="505" t="s">
        <v>371</v>
      </c>
      <c r="M17" s="506"/>
      <c r="N17" s="507"/>
      <c r="P17" s="210"/>
      <c r="Q17" s="499"/>
      <c r="R17" s="500"/>
      <c r="S17" s="500"/>
      <c r="T17" s="501"/>
    </row>
    <row r="18" spans="1:20" ht="30.75" customHeight="1" thickBot="1">
      <c r="A18" s="523" t="s">
        <v>422</v>
      </c>
      <c r="B18" s="524"/>
      <c r="C18" s="524"/>
      <c r="D18" s="524"/>
      <c r="E18" s="524"/>
      <c r="F18" s="524"/>
      <c r="G18" s="524"/>
      <c r="H18" s="524"/>
      <c r="I18" s="524"/>
      <c r="J18" s="524"/>
      <c r="K18" s="525"/>
      <c r="L18" s="526">
        <f>'IT calculation'!E40</f>
        <v>738310</v>
      </c>
      <c r="M18" s="527"/>
      <c r="N18" s="528"/>
      <c r="P18" s="210"/>
      <c r="Q18" s="480"/>
      <c r="R18" s="481"/>
      <c r="S18" s="481"/>
      <c r="T18" s="482"/>
    </row>
    <row r="19" spans="1:20" ht="15.75" customHeight="1">
      <c r="A19" s="520"/>
      <c r="B19" s="521"/>
      <c r="C19" s="521"/>
      <c r="D19" s="521"/>
      <c r="E19" s="521"/>
      <c r="F19" s="521"/>
      <c r="G19" s="521"/>
      <c r="H19" s="521"/>
      <c r="I19" s="521"/>
      <c r="J19" s="521"/>
      <c r="K19" s="521"/>
      <c r="L19" s="522"/>
      <c r="M19" s="522"/>
      <c r="N19" s="522"/>
      <c r="Q19" s="221"/>
      <c r="R19" s="221"/>
      <c r="S19" s="221"/>
      <c r="T19" s="221"/>
    </row>
    <row r="20" spans="1:20" ht="15.75" thickBot="1">
      <c r="A20" s="222"/>
      <c r="O20" s="223"/>
    </row>
  </sheetData>
  <sheetProtection algorithmName="SHA-512" hashValue="Q+LZZ/t24KEFSNLj5xVte+rsH3VkzP/5C9JX8O87nBAorU6gXv6vO1RWTLcOUs5MaOCx1LqeInAhvgtepSpTXg==" saltValue="0qLbQe39P+ULUjY50vOaAQ==" spinCount="100000" sheet="1" objects="1" scenarios="1"/>
  <mergeCells count="43">
    <mergeCell ref="A19:K19"/>
    <mergeCell ref="L19:N19"/>
    <mergeCell ref="Q12:T18"/>
    <mergeCell ref="L15:N15"/>
    <mergeCell ref="A16:K16"/>
    <mergeCell ref="L16:N16"/>
    <mergeCell ref="A17:K17"/>
    <mergeCell ref="L17:N17"/>
    <mergeCell ref="A18:K18"/>
    <mergeCell ref="L18:N18"/>
    <mergeCell ref="A14:K14"/>
    <mergeCell ref="L14:N14"/>
    <mergeCell ref="A15:K15"/>
    <mergeCell ref="A11:K11"/>
    <mergeCell ref="L11:N11"/>
    <mergeCell ref="A12:K12"/>
    <mergeCell ref="L12:N12"/>
    <mergeCell ref="A13:K13"/>
    <mergeCell ref="L13:N13"/>
    <mergeCell ref="A7:K7"/>
    <mergeCell ref="L7:N7"/>
    <mergeCell ref="A8:K8"/>
    <mergeCell ref="L8:N8"/>
    <mergeCell ref="Q8:T10"/>
    <mergeCell ref="A9:K9"/>
    <mergeCell ref="L9:N9"/>
    <mergeCell ref="A10:K10"/>
    <mergeCell ref="L10:N10"/>
    <mergeCell ref="A4:C4"/>
    <mergeCell ref="D4:G4"/>
    <mergeCell ref="H4:K4"/>
    <mergeCell ref="L4:N4"/>
    <mergeCell ref="Q4:T6"/>
    <mergeCell ref="A5:K5"/>
    <mergeCell ref="L5:N5"/>
    <mergeCell ref="A6:K6"/>
    <mergeCell ref="L6:N6"/>
    <mergeCell ref="A1:N1"/>
    <mergeCell ref="Q1:T2"/>
    <mergeCell ref="A2:C2"/>
    <mergeCell ref="D2:N2"/>
    <mergeCell ref="A3:C3"/>
    <mergeCell ref="D3: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82D57-E5DA-457F-B178-146A2C40D1B4}">
  <sheetPr codeName="Sheet7">
    <tabColor rgb="FF0070C0"/>
  </sheetPr>
  <dimension ref="A1:T42"/>
  <sheetViews>
    <sheetView topLeftCell="A22" zoomScaleNormal="100" workbookViewId="0">
      <selection activeCell="Q39" sqref="Q39"/>
    </sheetView>
  </sheetViews>
  <sheetFormatPr defaultColWidth="9.140625" defaultRowHeight="15"/>
  <cols>
    <col min="1" max="1" width="6.42578125" style="224" customWidth="1"/>
    <col min="2" max="2" width="9.42578125" style="224" customWidth="1"/>
    <col min="3" max="14" width="6.42578125" style="224" customWidth="1"/>
    <col min="15" max="16384" width="9.140625" style="224"/>
  </cols>
  <sheetData>
    <row r="1" spans="1:19" ht="25.5" customHeight="1">
      <c r="A1" s="556" t="s">
        <v>381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8"/>
    </row>
    <row r="2" spans="1:19" ht="45" customHeight="1" thickBot="1">
      <c r="A2" s="559" t="s">
        <v>382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1"/>
    </row>
    <row r="3" spans="1:19" ht="15" customHeight="1">
      <c r="A3" s="539" t="s">
        <v>383</v>
      </c>
      <c r="B3" s="540"/>
      <c r="C3" s="540"/>
      <c r="D3" s="541" t="str">
        <f>Profile!C4</f>
        <v>KAILASH CHANDRA SHARMA</v>
      </c>
      <c r="E3" s="541"/>
      <c r="F3" s="541"/>
      <c r="G3" s="541"/>
      <c r="H3" s="541"/>
      <c r="I3" s="541"/>
      <c r="J3" s="541"/>
      <c r="K3" s="541"/>
      <c r="L3" s="541"/>
      <c r="M3" s="541"/>
      <c r="N3" s="542"/>
      <c r="P3" s="530" t="s">
        <v>416</v>
      </c>
      <c r="Q3" s="531"/>
      <c r="R3" s="531"/>
      <c r="S3" s="532"/>
    </row>
    <row r="4" spans="1:19" ht="15" customHeight="1">
      <c r="A4" s="539" t="s">
        <v>384</v>
      </c>
      <c r="B4" s="540"/>
      <c r="C4" s="540"/>
      <c r="D4" s="541">
        <f>'us(89)1 Form'!D3:N3</f>
        <v>0</v>
      </c>
      <c r="E4" s="541"/>
      <c r="F4" s="541"/>
      <c r="G4" s="541"/>
      <c r="H4" s="541"/>
      <c r="I4" s="541"/>
      <c r="J4" s="541"/>
      <c r="K4" s="541"/>
      <c r="L4" s="541"/>
      <c r="M4" s="541"/>
      <c r="N4" s="542"/>
      <c r="P4" s="533"/>
      <c r="Q4" s="534"/>
      <c r="R4" s="534"/>
      <c r="S4" s="535"/>
    </row>
    <row r="5" spans="1:19" ht="15.75" customHeight="1">
      <c r="A5" s="539" t="s">
        <v>352</v>
      </c>
      <c r="B5" s="540"/>
      <c r="C5" s="540"/>
      <c r="D5" s="543">
        <f>Profile!C7</f>
        <v>0</v>
      </c>
      <c r="E5" s="543"/>
      <c r="F5" s="543"/>
      <c r="G5" s="543"/>
      <c r="H5" s="543"/>
      <c r="I5" s="540" t="s">
        <v>385</v>
      </c>
      <c r="J5" s="540"/>
      <c r="K5" s="543" t="s">
        <v>386</v>
      </c>
      <c r="L5" s="543"/>
      <c r="M5" s="543"/>
      <c r="N5" s="562"/>
      <c r="P5" s="533"/>
      <c r="Q5" s="534"/>
      <c r="R5" s="534"/>
      <c r="S5" s="535"/>
    </row>
    <row r="6" spans="1:19" ht="14.25" customHeight="1" thickBot="1">
      <c r="A6" s="548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50"/>
      <c r="P6" s="536"/>
      <c r="Q6" s="537"/>
      <c r="R6" s="537"/>
      <c r="S6" s="538"/>
    </row>
    <row r="7" spans="1:19" ht="26.25" customHeight="1">
      <c r="A7" s="551" t="s">
        <v>426</v>
      </c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3"/>
      <c r="P7" s="225"/>
      <c r="Q7" s="225"/>
      <c r="R7" s="225"/>
      <c r="S7" s="225"/>
    </row>
    <row r="8" spans="1:19" ht="24" customHeight="1">
      <c r="A8" s="544" t="s">
        <v>425</v>
      </c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54">
        <f>'us(89)1 Form'!L7+'us(89)1 Form'!L10+'us(89)1 Form'!L13+'us(89)1 Form'!L16</f>
        <v>39548</v>
      </c>
      <c r="M8" s="554"/>
      <c r="N8" s="555"/>
      <c r="P8" s="225"/>
      <c r="Q8" s="225"/>
      <c r="R8" s="225"/>
      <c r="S8" s="225"/>
    </row>
    <row r="9" spans="1:19" ht="24" customHeight="1">
      <c r="A9" s="544" t="s">
        <v>387</v>
      </c>
      <c r="B9" s="545"/>
      <c r="C9" s="545"/>
      <c r="D9" s="545"/>
      <c r="E9" s="545"/>
      <c r="F9" s="545"/>
      <c r="G9" s="545"/>
      <c r="H9" s="545"/>
      <c r="I9" s="545"/>
      <c r="J9" s="545"/>
      <c r="K9" s="545"/>
      <c r="L9" s="546" t="s">
        <v>388</v>
      </c>
      <c r="M9" s="546"/>
      <c r="N9" s="547"/>
      <c r="P9" s="225"/>
      <c r="Q9" s="225"/>
      <c r="R9" s="225"/>
      <c r="S9" s="225"/>
    </row>
    <row r="10" spans="1:19" ht="43.5" customHeight="1">
      <c r="A10" s="544" t="s">
        <v>389</v>
      </c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6" t="s">
        <v>388</v>
      </c>
      <c r="M10" s="546"/>
      <c r="N10" s="547"/>
      <c r="P10" s="225"/>
      <c r="Q10" s="225"/>
      <c r="R10" s="225"/>
      <c r="S10" s="225"/>
    </row>
    <row r="11" spans="1:19" ht="28.5" customHeight="1">
      <c r="A11" s="544" t="s">
        <v>390</v>
      </c>
      <c r="B11" s="545"/>
      <c r="C11" s="545"/>
      <c r="D11" s="545"/>
      <c r="E11" s="545"/>
      <c r="F11" s="545"/>
      <c r="G11" s="545"/>
      <c r="H11" s="545"/>
      <c r="I11" s="545"/>
      <c r="J11" s="545"/>
      <c r="K11" s="545"/>
      <c r="L11" s="546" t="s">
        <v>388</v>
      </c>
      <c r="M11" s="546"/>
      <c r="N11" s="547"/>
    </row>
    <row r="12" spans="1:19" ht="28.5" customHeight="1">
      <c r="A12" s="544" t="s">
        <v>391</v>
      </c>
      <c r="B12" s="545"/>
      <c r="C12" s="545"/>
      <c r="D12" s="545"/>
      <c r="E12" s="545"/>
      <c r="F12" s="545"/>
      <c r="G12" s="545"/>
      <c r="H12" s="545"/>
      <c r="I12" s="545"/>
      <c r="J12" s="545"/>
      <c r="K12" s="545"/>
      <c r="L12" s="541" t="s">
        <v>392</v>
      </c>
      <c r="M12" s="541"/>
      <c r="N12" s="542"/>
    </row>
    <row r="13" spans="1:19">
      <c r="A13" s="563" t="s">
        <v>393</v>
      </c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5"/>
    </row>
    <row r="14" spans="1:19">
      <c r="A14" s="566" t="s">
        <v>394</v>
      </c>
      <c r="B14" s="567"/>
      <c r="C14" s="567"/>
      <c r="D14" s="567"/>
      <c r="E14" s="567"/>
      <c r="F14" s="567"/>
      <c r="G14" s="567"/>
      <c r="H14" s="567"/>
      <c r="I14" s="567"/>
      <c r="J14" s="567"/>
      <c r="K14" s="567"/>
      <c r="L14" s="567"/>
      <c r="M14" s="567"/>
      <c r="N14" s="568"/>
    </row>
    <row r="15" spans="1:19" ht="12.75" customHeight="1">
      <c r="A15" s="226"/>
      <c r="N15" s="227"/>
    </row>
    <row r="16" spans="1:19">
      <c r="A16" s="228" t="s">
        <v>395</v>
      </c>
      <c r="B16" s="587"/>
      <c r="C16" s="588"/>
      <c r="N16" s="227"/>
    </row>
    <row r="17" spans="1:20" ht="20.25" customHeight="1">
      <c r="A17" s="226"/>
      <c r="K17" s="569" t="s">
        <v>396</v>
      </c>
      <c r="L17" s="569"/>
      <c r="M17" s="569"/>
      <c r="N17" s="570"/>
    </row>
    <row r="18" spans="1:20">
      <c r="A18" s="226"/>
      <c r="N18" s="227"/>
    </row>
    <row r="19" spans="1:20">
      <c r="A19" s="571" t="s">
        <v>397</v>
      </c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3"/>
    </row>
    <row r="20" spans="1:20">
      <c r="A20" s="544" t="s">
        <v>398</v>
      </c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74">
        <f>L22-L21</f>
        <v>698762</v>
      </c>
      <c r="M20" s="574"/>
      <c r="N20" s="575"/>
    </row>
    <row r="21" spans="1:20">
      <c r="A21" s="544" t="s">
        <v>399</v>
      </c>
      <c r="B21" s="545"/>
      <c r="C21" s="545"/>
      <c r="D21" s="545"/>
      <c r="E21" s="545"/>
      <c r="F21" s="545"/>
      <c r="G21" s="545"/>
      <c r="H21" s="545"/>
      <c r="I21" s="545"/>
      <c r="J21" s="545"/>
      <c r="K21" s="545"/>
      <c r="L21" s="574">
        <f>L8</f>
        <v>39548</v>
      </c>
      <c r="M21" s="574"/>
      <c r="N21" s="575"/>
    </row>
    <row r="22" spans="1:20">
      <c r="A22" s="544" t="s">
        <v>400</v>
      </c>
      <c r="B22" s="545"/>
      <c r="C22" s="545"/>
      <c r="D22" s="545"/>
      <c r="E22" s="545"/>
      <c r="F22" s="545"/>
      <c r="G22" s="545"/>
      <c r="H22" s="545"/>
      <c r="I22" s="545"/>
      <c r="J22" s="545"/>
      <c r="K22" s="545"/>
      <c r="L22" s="574">
        <f>'us(89)1 Form'!L18</f>
        <v>738310</v>
      </c>
      <c r="M22" s="574"/>
      <c r="N22" s="575"/>
    </row>
    <row r="23" spans="1:20">
      <c r="A23" s="544" t="s">
        <v>401</v>
      </c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76">
        <f>control10E!I2</f>
        <v>62568</v>
      </c>
      <c r="M23" s="574"/>
      <c r="N23" s="575"/>
    </row>
    <row r="24" spans="1:20">
      <c r="A24" s="544" t="s">
        <v>402</v>
      </c>
      <c r="B24" s="545"/>
      <c r="C24" s="545"/>
      <c r="D24" s="545"/>
      <c r="E24" s="545"/>
      <c r="F24" s="545"/>
      <c r="G24" s="545"/>
      <c r="H24" s="545"/>
      <c r="I24" s="545"/>
      <c r="J24" s="545"/>
      <c r="K24" s="545"/>
      <c r="L24" s="574">
        <f>control10E!I1</f>
        <v>54342</v>
      </c>
      <c r="M24" s="574"/>
      <c r="N24" s="575"/>
    </row>
    <row r="25" spans="1:20">
      <c r="A25" s="544" t="s">
        <v>403</v>
      </c>
      <c r="B25" s="545"/>
      <c r="C25" s="545"/>
      <c r="D25" s="545"/>
      <c r="E25" s="545"/>
      <c r="F25" s="545"/>
      <c r="G25" s="545"/>
      <c r="H25" s="545"/>
      <c r="I25" s="545"/>
      <c r="J25" s="545"/>
      <c r="K25" s="545"/>
      <c r="L25" s="574">
        <f>L23-L24</f>
        <v>8226</v>
      </c>
      <c r="M25" s="574"/>
      <c r="N25" s="575"/>
    </row>
    <row r="26" spans="1:20">
      <c r="A26" s="544" t="s">
        <v>404</v>
      </c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74">
        <f>M36</f>
        <v>8226</v>
      </c>
      <c r="M26" s="574"/>
      <c r="N26" s="575"/>
    </row>
    <row r="27" spans="1:20" ht="25.5" customHeight="1">
      <c r="A27" s="544" t="s">
        <v>405</v>
      </c>
      <c r="B27" s="545"/>
      <c r="C27" s="545"/>
      <c r="D27" s="545"/>
      <c r="E27" s="545"/>
      <c r="F27" s="545"/>
      <c r="G27" s="545"/>
      <c r="H27" s="545"/>
      <c r="I27" s="545"/>
      <c r="J27" s="545"/>
      <c r="K27" s="545"/>
      <c r="L27" s="577">
        <f>L25-L26</f>
        <v>0</v>
      </c>
      <c r="M27" s="577"/>
      <c r="N27" s="578"/>
      <c r="P27" s="286" t="s">
        <v>436</v>
      </c>
      <c r="Q27" s="529"/>
      <c r="R27" s="529"/>
      <c r="S27" s="529"/>
      <c r="T27" s="287"/>
    </row>
    <row r="28" spans="1:20" ht="13.5" customHeight="1">
      <c r="A28" s="229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1"/>
      <c r="M28" s="231"/>
      <c r="N28" s="232"/>
    </row>
    <row r="29" spans="1:20">
      <c r="A29" s="571" t="s">
        <v>406</v>
      </c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3"/>
    </row>
    <row r="30" spans="1:20" ht="90" customHeight="1">
      <c r="A30" s="579" t="s">
        <v>407</v>
      </c>
      <c r="B30" s="580"/>
      <c r="C30" s="580" t="s">
        <v>408</v>
      </c>
      <c r="D30" s="580"/>
      <c r="E30" s="580" t="s">
        <v>409</v>
      </c>
      <c r="F30" s="580"/>
      <c r="G30" s="580" t="s">
        <v>410</v>
      </c>
      <c r="H30" s="580"/>
      <c r="I30" s="580" t="s">
        <v>411</v>
      </c>
      <c r="J30" s="580"/>
      <c r="K30" s="580" t="s">
        <v>412</v>
      </c>
      <c r="L30" s="580"/>
      <c r="M30" s="580" t="s">
        <v>413</v>
      </c>
      <c r="N30" s="581"/>
    </row>
    <row r="31" spans="1:20">
      <c r="A31" s="586">
        <v>1</v>
      </c>
      <c r="B31" s="541"/>
      <c r="C31" s="541">
        <v>2</v>
      </c>
      <c r="D31" s="541"/>
      <c r="E31" s="541">
        <v>3</v>
      </c>
      <c r="F31" s="541"/>
      <c r="G31" s="541">
        <v>4</v>
      </c>
      <c r="H31" s="541"/>
      <c r="I31" s="541">
        <v>5</v>
      </c>
      <c r="J31" s="541"/>
      <c r="K31" s="541">
        <v>6</v>
      </c>
      <c r="L31" s="541"/>
      <c r="M31" s="541">
        <v>7</v>
      </c>
      <c r="N31" s="542"/>
    </row>
    <row r="32" spans="1:20" ht="18" customHeight="1">
      <c r="A32" s="582" t="s">
        <v>414</v>
      </c>
      <c r="B32" s="583"/>
      <c r="C32" s="584">
        <f>'us(89)1 Form'!L6</f>
        <v>489520</v>
      </c>
      <c r="D32" s="583"/>
      <c r="E32" s="584">
        <f>'us(89)1 Form'!L7</f>
        <v>0</v>
      </c>
      <c r="F32" s="583"/>
      <c r="G32" s="584">
        <f>C32+E32</f>
        <v>489520</v>
      </c>
      <c r="H32" s="583"/>
      <c r="I32" s="584">
        <f>control10E!I4</f>
        <v>12335</v>
      </c>
      <c r="J32" s="583"/>
      <c r="K32" s="584">
        <f>control10E!I9</f>
        <v>12335</v>
      </c>
      <c r="L32" s="583"/>
      <c r="M32" s="584">
        <f>K32-I32</f>
        <v>0</v>
      </c>
      <c r="N32" s="585"/>
    </row>
    <row r="33" spans="1:14" ht="17.25" customHeight="1">
      <c r="A33" s="582" t="s">
        <v>415</v>
      </c>
      <c r="B33" s="583"/>
      <c r="C33" s="584">
        <f>'us(89)1 Form'!L9</f>
        <v>53009</v>
      </c>
      <c r="D33" s="583"/>
      <c r="E33" s="584">
        <f>'us(89)1 Form'!L10</f>
        <v>0</v>
      </c>
      <c r="F33" s="583"/>
      <c r="G33" s="584">
        <f>C33+E33</f>
        <v>53009</v>
      </c>
      <c r="H33" s="583"/>
      <c r="I33" s="584">
        <f>control10E!I5</f>
        <v>0</v>
      </c>
      <c r="J33" s="583"/>
      <c r="K33" s="584">
        <f>control10E!I10</f>
        <v>0</v>
      </c>
      <c r="L33" s="583"/>
      <c r="M33" s="584">
        <f>K33-I33</f>
        <v>0</v>
      </c>
      <c r="N33" s="585"/>
    </row>
    <row r="34" spans="1:14" ht="16.5" customHeight="1">
      <c r="A34" s="582" t="s">
        <v>423</v>
      </c>
      <c r="B34" s="583"/>
      <c r="C34" s="584">
        <f>'us(89)1 Form'!L12</f>
        <v>802296</v>
      </c>
      <c r="D34" s="583"/>
      <c r="E34" s="584">
        <f>'us(89)1 Form'!L13</f>
        <v>0</v>
      </c>
      <c r="F34" s="583"/>
      <c r="G34" s="584">
        <f>C34+E34</f>
        <v>802296</v>
      </c>
      <c r="H34" s="583"/>
      <c r="I34" s="584">
        <f>control10E!I6</f>
        <v>75878</v>
      </c>
      <c r="J34" s="583"/>
      <c r="K34" s="584">
        <f>control10E!I11</f>
        <v>75878</v>
      </c>
      <c r="L34" s="583"/>
      <c r="M34" s="584">
        <f>K34-I34</f>
        <v>0</v>
      </c>
      <c r="N34" s="585"/>
    </row>
    <row r="35" spans="1:14" ht="21.75" customHeight="1">
      <c r="A35" s="582" t="s">
        <v>424</v>
      </c>
      <c r="B35" s="583"/>
      <c r="C35" s="584">
        <f>'us(89)1 Form'!L15</f>
        <v>718752</v>
      </c>
      <c r="D35" s="583"/>
      <c r="E35" s="584">
        <f>'us(89)1 Form'!L16</f>
        <v>39548</v>
      </c>
      <c r="F35" s="583"/>
      <c r="G35" s="584">
        <f>C35+E35</f>
        <v>758300</v>
      </c>
      <c r="H35" s="583"/>
      <c r="I35" s="584">
        <f>control10E!I7</f>
        <v>58500</v>
      </c>
      <c r="J35" s="583"/>
      <c r="K35" s="584">
        <f>control10E!I12</f>
        <v>66726</v>
      </c>
      <c r="L35" s="583"/>
      <c r="M35" s="584">
        <f>K35-I35</f>
        <v>8226</v>
      </c>
      <c r="N35" s="585"/>
    </row>
    <row r="36" spans="1:14" ht="18.75" customHeight="1">
      <c r="A36" s="597" t="s">
        <v>262</v>
      </c>
      <c r="B36" s="598"/>
      <c r="C36" s="584"/>
      <c r="D36" s="583"/>
      <c r="E36" s="584"/>
      <c r="F36" s="583"/>
      <c r="G36" s="584"/>
      <c r="H36" s="583"/>
      <c r="I36" s="584"/>
      <c r="J36" s="583"/>
      <c r="K36" s="584"/>
      <c r="L36" s="583"/>
      <c r="M36" s="584">
        <f>M32+M33+M34+M35</f>
        <v>8226</v>
      </c>
      <c r="N36" s="585"/>
    </row>
    <row r="37" spans="1:14">
      <c r="A37" s="226"/>
      <c r="N37" s="227"/>
    </row>
    <row r="38" spans="1:14" ht="15.75" thickBot="1">
      <c r="A38" s="595" t="s">
        <v>416</v>
      </c>
      <c r="B38" s="596"/>
      <c r="C38" s="596"/>
      <c r="D38" s="596"/>
      <c r="E38" s="596"/>
      <c r="F38" s="596"/>
      <c r="G38" s="596"/>
      <c r="H38" s="596"/>
      <c r="I38" s="596"/>
      <c r="J38" s="233"/>
      <c r="K38" s="233"/>
      <c r="L38" s="233"/>
      <c r="M38" s="233"/>
      <c r="N38" s="234"/>
    </row>
    <row r="40" spans="1:14" ht="15.75" thickBot="1"/>
    <row r="41" spans="1:14">
      <c r="F41" s="589"/>
      <c r="G41" s="590"/>
      <c r="H41" s="590"/>
      <c r="I41" s="591"/>
    </row>
    <row r="42" spans="1:14" ht="15.75" thickBot="1">
      <c r="F42" s="592"/>
      <c r="G42" s="593"/>
      <c r="H42" s="593"/>
      <c r="I42" s="594"/>
    </row>
  </sheetData>
  <sheetProtection algorithmName="SHA-512" hashValue="JCAiVb61uidbiUWqbUZk074Bz0a+QTvOZ13WaIrZQwPiT5Ymw9NoKVJbBY8Qb7dMGPBHoFpLDRHiIo+bEyfRMg==" saltValue="HCrQGRIRo2BS/GJbX58Dow==" spinCount="100000" sheet="1" objects="1" scenarios="1"/>
  <mergeCells count="97">
    <mergeCell ref="B16:C16"/>
    <mergeCell ref="F41:I42"/>
    <mergeCell ref="A38:I38"/>
    <mergeCell ref="M35:N35"/>
    <mergeCell ref="A36:B36"/>
    <mergeCell ref="C36:D36"/>
    <mergeCell ref="E36:F36"/>
    <mergeCell ref="G36:H36"/>
    <mergeCell ref="I36:J36"/>
    <mergeCell ref="K36:L36"/>
    <mergeCell ref="M36:N36"/>
    <mergeCell ref="A35:B35"/>
    <mergeCell ref="C35:D35"/>
    <mergeCell ref="E35:F35"/>
    <mergeCell ref="G35:H35"/>
    <mergeCell ref="I35:J35"/>
    <mergeCell ref="K35:L35"/>
    <mergeCell ref="M33:N33"/>
    <mergeCell ref="A34:B34"/>
    <mergeCell ref="C34:D34"/>
    <mergeCell ref="E34:F34"/>
    <mergeCell ref="G34:H34"/>
    <mergeCell ref="I34:J34"/>
    <mergeCell ref="K34:L34"/>
    <mergeCell ref="M34:N34"/>
    <mergeCell ref="A33:B33"/>
    <mergeCell ref="C33:D33"/>
    <mergeCell ref="E33:F33"/>
    <mergeCell ref="G33:H33"/>
    <mergeCell ref="I33:J33"/>
    <mergeCell ref="K33:L33"/>
    <mergeCell ref="M31:N31"/>
    <mergeCell ref="A32:B32"/>
    <mergeCell ref="C32:D32"/>
    <mergeCell ref="E32:F32"/>
    <mergeCell ref="G32:H32"/>
    <mergeCell ref="I32:J32"/>
    <mergeCell ref="K32:L32"/>
    <mergeCell ref="M32:N32"/>
    <mergeCell ref="A31:B31"/>
    <mergeCell ref="C31:D31"/>
    <mergeCell ref="E31:F31"/>
    <mergeCell ref="G31:H31"/>
    <mergeCell ref="I31:J31"/>
    <mergeCell ref="K31:L31"/>
    <mergeCell ref="A29:N29"/>
    <mergeCell ref="A30:B30"/>
    <mergeCell ref="C30:D30"/>
    <mergeCell ref="E30:F30"/>
    <mergeCell ref="G30:H30"/>
    <mergeCell ref="I30:J30"/>
    <mergeCell ref="K30:L30"/>
    <mergeCell ref="M30:N30"/>
    <mergeCell ref="A25:K25"/>
    <mergeCell ref="L25:N25"/>
    <mergeCell ref="A26:K26"/>
    <mergeCell ref="L26:N26"/>
    <mergeCell ref="A27:K27"/>
    <mergeCell ref="L27:N27"/>
    <mergeCell ref="A22:K22"/>
    <mergeCell ref="L22:N22"/>
    <mergeCell ref="A23:K23"/>
    <mergeCell ref="L23:N23"/>
    <mergeCell ref="A24:K24"/>
    <mergeCell ref="L24:N24"/>
    <mergeCell ref="K17:N17"/>
    <mergeCell ref="A19:N19"/>
    <mergeCell ref="A20:K20"/>
    <mergeCell ref="L20:N20"/>
    <mergeCell ref="A21:K21"/>
    <mergeCell ref="L21:N21"/>
    <mergeCell ref="L11:N11"/>
    <mergeCell ref="A12:K12"/>
    <mergeCell ref="L12:N12"/>
    <mergeCell ref="A13:N13"/>
    <mergeCell ref="A14:N14"/>
    <mergeCell ref="A1:N1"/>
    <mergeCell ref="A2:N2"/>
    <mergeCell ref="A3:C3"/>
    <mergeCell ref="D3:N3"/>
    <mergeCell ref="K5:N5"/>
    <mergeCell ref="P27:T27"/>
    <mergeCell ref="P3:S6"/>
    <mergeCell ref="A4:C4"/>
    <mergeCell ref="D4:N4"/>
    <mergeCell ref="A5:C5"/>
    <mergeCell ref="D5:H5"/>
    <mergeCell ref="I5:J5"/>
    <mergeCell ref="A9:K9"/>
    <mergeCell ref="L9:N9"/>
    <mergeCell ref="A6:N6"/>
    <mergeCell ref="A7:N7"/>
    <mergeCell ref="A8:K8"/>
    <mergeCell ref="L8:N8"/>
    <mergeCell ref="A10:K10"/>
    <mergeCell ref="L10:N10"/>
    <mergeCell ref="A11:K11"/>
  </mergeCells>
  <pageMargins left="0.7" right="0.7" top="0.75" bottom="0.75" header="0.3" footer="0.3"/>
  <pageSetup paperSize="9" scale="94" orientation="portrait" verticalDpi="0" r:id="rId1"/>
  <rowBreaks count="1" manualBreakCount="1">
    <brk id="38" max="16383" man="1"/>
  </rowBreaks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B6DE6-BB38-40F3-9908-83865F8589B2}">
  <sheetPr codeName="Sheet8">
    <tabColor rgb="FFFFC000"/>
  </sheetPr>
  <dimension ref="A1:P14"/>
  <sheetViews>
    <sheetView workbookViewId="0">
      <selection activeCell="M11" sqref="M11"/>
    </sheetView>
  </sheetViews>
  <sheetFormatPr defaultRowHeight="15"/>
  <cols>
    <col min="16" max="16" width="10.85546875" customWidth="1"/>
  </cols>
  <sheetData>
    <row r="1" spans="1:16">
      <c r="B1">
        <f>form10E!L20</f>
        <v>698762</v>
      </c>
      <c r="C1" t="s">
        <v>435</v>
      </c>
      <c r="D1">
        <f>ROUND(B1,-1)</f>
        <v>698760</v>
      </c>
      <c r="E1" s="205">
        <f>IF(D1&lt;=250000,0,IF(D1&gt;250000,(250000)*0.05,0))</f>
        <v>12500</v>
      </c>
      <c r="F1" s="205">
        <f>IF(D1&lt;=500000,0,IF(D1&gt;500000,(D1-500000)*0.2,0))</f>
        <v>39752</v>
      </c>
      <c r="G1" s="205">
        <f>E1+F1</f>
        <v>52252</v>
      </c>
      <c r="H1" s="205">
        <f>ROUND(G1*4/100,0)</f>
        <v>2090</v>
      </c>
      <c r="I1" s="205">
        <f>G1+H1</f>
        <v>54342</v>
      </c>
    </row>
    <row r="2" spans="1:16">
      <c r="B2">
        <f>form10E!L22</f>
        <v>738310</v>
      </c>
      <c r="C2" t="s">
        <v>434</v>
      </c>
      <c r="D2">
        <f>ROUND(B2,-1)</f>
        <v>738310</v>
      </c>
      <c r="E2" s="205">
        <f>IF(D2&lt;=250000,0,IF(D2&gt;250000,(250000)*0.05,0))</f>
        <v>12500</v>
      </c>
      <c r="F2" s="205">
        <f>IF(D2&lt;=500000,0,IF(D2&gt;500000,(D2-500000)*0.2,0))</f>
        <v>47662</v>
      </c>
      <c r="G2" s="205">
        <f>E2+F2</f>
        <v>60162</v>
      </c>
      <c r="H2" s="205">
        <f>ROUND(G2*4/100,0)</f>
        <v>2406</v>
      </c>
      <c r="I2" s="205">
        <f>G2+H2</f>
        <v>62568</v>
      </c>
    </row>
    <row r="3" spans="1:16" ht="20.25" customHeight="1">
      <c r="A3" s="599" t="s">
        <v>432</v>
      </c>
      <c r="B3" s="599"/>
      <c r="C3" s="599"/>
      <c r="D3" s="599"/>
      <c r="E3" s="599"/>
      <c r="F3" s="599"/>
      <c r="G3" s="599"/>
      <c r="H3" s="599"/>
      <c r="I3" s="600"/>
    </row>
    <row r="4" spans="1:16">
      <c r="A4" s="204" t="s">
        <v>427</v>
      </c>
      <c r="B4" s="204">
        <f>form10E!C32</f>
        <v>489520</v>
      </c>
      <c r="C4" s="204"/>
      <c r="D4" s="204">
        <f t="shared" ref="D4:D7" si="0">ROUND(B4,-1)</f>
        <v>489520</v>
      </c>
      <c r="E4" s="204">
        <f t="shared" ref="E4:E9" si="1">ROUND(IF(D4&lt;=250000,0,IF(D4&lt;=500000,(D4-250000)*0.05,IF(D4&lt;=75000,12500+(D4-500000)*0.1,IF(D4&lt;=1000000,37500+(D4-75000)*0.15,IF(D4&lt;=1250000,75000+(D4-1000000)*0.2,IF(D4&lt;=1500000,125000+(D4-1250000)*0.25,IF(D4&gt;1500000,187500+(D4-1500000)*0.3,"0"))))))),0)</f>
        <v>11976</v>
      </c>
      <c r="F4" s="204"/>
      <c r="G4" s="204"/>
      <c r="H4" s="204">
        <f>ROUND(E4*3/100,0)</f>
        <v>359</v>
      </c>
      <c r="I4" s="204">
        <f>E4+H4</f>
        <v>12335</v>
      </c>
      <c r="N4" s="207"/>
    </row>
    <row r="5" spans="1:16">
      <c r="A5" s="204" t="s">
        <v>429</v>
      </c>
      <c r="B5" s="204">
        <f>form10E!C33</f>
        <v>53009</v>
      </c>
      <c r="C5" s="204"/>
      <c r="D5" s="204">
        <f t="shared" si="0"/>
        <v>53010</v>
      </c>
      <c r="E5" s="204">
        <f t="shared" si="1"/>
        <v>0</v>
      </c>
      <c r="F5" s="204"/>
      <c r="G5" s="204"/>
      <c r="H5" s="204">
        <f t="shared" ref="H5" si="2">ROUND(E5*3/100,0)</f>
        <v>0</v>
      </c>
      <c r="I5" s="204">
        <f t="shared" ref="I5" si="3">E5+H5</f>
        <v>0</v>
      </c>
      <c r="P5" s="206"/>
    </row>
    <row r="6" spans="1:16">
      <c r="A6" s="204" t="s">
        <v>430</v>
      </c>
      <c r="B6" s="204">
        <f>form10E!C34</f>
        <v>802296</v>
      </c>
      <c r="C6" s="204"/>
      <c r="D6" s="204">
        <f t="shared" si="0"/>
        <v>802300</v>
      </c>
      <c r="E6" s="204">
        <f>IF(D6&lt;=250000,0,IF(D6&gt;250000,(250000)*0.05,0))</f>
        <v>12500</v>
      </c>
      <c r="F6" s="204">
        <f>IF(D6&lt;=500000,0,IF(D6&gt;500000,(D6-500000)*0.2,0))</f>
        <v>60460</v>
      </c>
      <c r="G6" s="204">
        <f>E6+F6</f>
        <v>72960</v>
      </c>
      <c r="H6" s="204">
        <f>ROUND(G6*4/100,0)</f>
        <v>2918</v>
      </c>
      <c r="I6" s="204">
        <f>G6+H6</f>
        <v>75878</v>
      </c>
      <c r="P6" s="206"/>
    </row>
    <row r="7" spans="1:16">
      <c r="A7" s="204" t="s">
        <v>431</v>
      </c>
      <c r="B7" s="204">
        <f>form10E!C35</f>
        <v>718752</v>
      </c>
      <c r="C7" s="204"/>
      <c r="D7" s="204">
        <f t="shared" si="0"/>
        <v>718750</v>
      </c>
      <c r="E7" s="204">
        <f>IF(D7&lt;=250000,0,IF(D7&gt;250000,(250000)*0.05,0))</f>
        <v>12500</v>
      </c>
      <c r="F7" s="204">
        <f>IF(D7&lt;=500000,0,IF(D7&gt;500000,(D7-500000)*0.2,0))</f>
        <v>43750</v>
      </c>
      <c r="G7" s="204">
        <f>E7+F7</f>
        <v>56250</v>
      </c>
      <c r="H7" s="204">
        <f>ROUND(G7*4/100,0)</f>
        <v>2250</v>
      </c>
      <c r="I7" s="204">
        <f>G7+H7</f>
        <v>58500</v>
      </c>
      <c r="P7" s="206"/>
    </row>
    <row r="8" spans="1:16" ht="21" customHeight="1">
      <c r="A8" s="599" t="s">
        <v>433</v>
      </c>
      <c r="B8" s="599"/>
      <c r="C8" s="599"/>
      <c r="D8" s="599"/>
      <c r="E8" s="599"/>
      <c r="F8" s="599"/>
      <c r="G8" s="599"/>
      <c r="H8" s="599"/>
      <c r="I8" s="600"/>
      <c r="P8" s="206"/>
    </row>
    <row r="9" spans="1:16">
      <c r="A9" s="208" t="s">
        <v>428</v>
      </c>
      <c r="B9" s="208">
        <f>form10E!G32</f>
        <v>489520</v>
      </c>
      <c r="C9" s="208"/>
      <c r="D9" s="208">
        <f t="shared" ref="D9:D12" si="4">ROUND(B9,-1)</f>
        <v>489520</v>
      </c>
      <c r="E9" s="208">
        <f t="shared" si="1"/>
        <v>11976</v>
      </c>
      <c r="F9" s="208"/>
      <c r="G9" s="208"/>
      <c r="H9" s="208">
        <f>ROUND(E9*3/100,0)</f>
        <v>359</v>
      </c>
      <c r="I9" s="208">
        <f>E9+H9</f>
        <v>12335</v>
      </c>
      <c r="P9" s="206"/>
    </row>
    <row r="10" spans="1:16">
      <c r="A10" s="208" t="s">
        <v>429</v>
      </c>
      <c r="B10" s="208">
        <f>form10E!G33</f>
        <v>53009</v>
      </c>
      <c r="C10" s="208"/>
      <c r="D10" s="208">
        <f t="shared" si="4"/>
        <v>53010</v>
      </c>
      <c r="E10" s="208">
        <f t="shared" ref="E10" si="5">ROUND(IF(D10&lt;=250000,0,IF(D10&lt;=500000,(D10-250000)*0.05,IF(D10&lt;=75000,12500+(D10-500000)*0.1,IF(D10&lt;=1000000,37500+(D10-75000)*0.15,IF(D10&lt;=1250000,75000+(D10-1000000)*0.2,IF(D10&lt;=1500000,125000+(D10-1250000)*0.25,IF(D10&gt;1500000,187500+(D10-1500000)*0.3,"0"))))))),0)</f>
        <v>0</v>
      </c>
      <c r="F10" s="208"/>
      <c r="G10" s="208"/>
      <c r="H10" s="208">
        <f>ROUND(E10*3/100,0)</f>
        <v>0</v>
      </c>
      <c r="I10" s="208">
        <f>E10+H10</f>
        <v>0</v>
      </c>
      <c r="P10" s="206"/>
    </row>
    <row r="11" spans="1:16">
      <c r="A11" s="208" t="s">
        <v>430</v>
      </c>
      <c r="B11" s="208">
        <f>form10E!G34</f>
        <v>802296</v>
      </c>
      <c r="C11" s="208"/>
      <c r="D11" s="208">
        <f t="shared" si="4"/>
        <v>802300</v>
      </c>
      <c r="E11" s="208">
        <f>IF(D11&lt;=250000,0,IF(D11&gt;250000,(250000)*0.05,0))</f>
        <v>12500</v>
      </c>
      <c r="F11" s="208">
        <f>IF(D11&lt;=500000,0,IF(D11&gt;500000,(D11-500000)*0.2,0))</f>
        <v>60460</v>
      </c>
      <c r="G11" s="208">
        <f>E11+F11</f>
        <v>72960</v>
      </c>
      <c r="H11" s="208">
        <f>ROUND(G11*4/100,0)</f>
        <v>2918</v>
      </c>
      <c r="I11" s="208">
        <f>G11+H11</f>
        <v>75878</v>
      </c>
      <c r="P11" s="206"/>
    </row>
    <row r="12" spans="1:16">
      <c r="A12" s="208" t="s">
        <v>431</v>
      </c>
      <c r="B12" s="208">
        <f>form10E!G35</f>
        <v>758300</v>
      </c>
      <c r="C12" s="208"/>
      <c r="D12" s="208">
        <f t="shared" si="4"/>
        <v>758300</v>
      </c>
      <c r="E12" s="208">
        <f>IF(D12&lt;=250000,0,IF(D12&gt;250000,(250000)*0.05,0))</f>
        <v>12500</v>
      </c>
      <c r="F12" s="208">
        <f>IF(D12&lt;=500000,0,IF(D12&gt;500000,(D12-500000)*0.2,0))</f>
        <v>51660</v>
      </c>
      <c r="G12" s="208">
        <f>E12+F12</f>
        <v>64160</v>
      </c>
      <c r="H12" s="208">
        <f>ROUND(G12*4/100,0)</f>
        <v>2566</v>
      </c>
      <c r="I12" s="208">
        <f>G12+H12</f>
        <v>66726</v>
      </c>
      <c r="P12" s="206"/>
    </row>
    <row r="13" spans="1:16">
      <c r="P13" s="206"/>
    </row>
    <row r="14" spans="1:16">
      <c r="P14" s="206"/>
    </row>
  </sheetData>
  <sheetProtection algorithmName="SHA-512" hashValue="xbGyPYM5yjDvexJ6u1S34RNTILoQ7RS/dFLh20e9KNwrUkjTIqoAER/Y03Zr1+r6i6s90UKjC4SGRil67kfrow==" saltValue="8BbtSqc/PhXkTLFbgEFL2w==" spinCount="100000" sheet="1" objects="1" scenarios="1"/>
  <mergeCells count="2">
    <mergeCell ref="A8:I8"/>
    <mergeCell ref="A3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E33C-FF04-4329-B285-6B412F35BDE3}">
  <sheetPr codeName="Sheet4">
    <tabColor theme="4" tint="-0.249977111117893"/>
  </sheetPr>
  <dimension ref="A1:V168"/>
  <sheetViews>
    <sheetView zoomScaleNormal="100" workbookViewId="0">
      <selection activeCell="M16" sqref="M16:N17"/>
    </sheetView>
  </sheetViews>
  <sheetFormatPr defaultColWidth="9.140625" defaultRowHeight="15.75"/>
  <cols>
    <col min="1" max="1" width="8.7109375" style="140" customWidth="1"/>
    <col min="2" max="2" width="9.5703125" style="140" customWidth="1"/>
    <col min="3" max="3" width="9.140625" style="140"/>
    <col min="4" max="4" width="13.85546875" style="140" customWidth="1"/>
    <col min="5" max="5" width="15.85546875" style="140" customWidth="1"/>
    <col min="6" max="6" width="7.7109375" style="140" customWidth="1"/>
    <col min="7" max="7" width="6.7109375" style="140" customWidth="1"/>
    <col min="8" max="8" width="7.140625" style="140" customWidth="1"/>
    <col min="9" max="9" width="5.28515625" style="140" customWidth="1"/>
    <col min="10" max="10" width="7.7109375" style="140" customWidth="1"/>
    <col min="11" max="11" width="6.28515625" style="140" customWidth="1"/>
    <col min="12" max="12" width="8.85546875" style="140" customWidth="1"/>
    <col min="13" max="16384" width="9.140625" style="140"/>
  </cols>
  <sheetData>
    <row r="1" spans="1:22" ht="25.5" customHeight="1">
      <c r="A1" s="601" t="s">
        <v>221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M1" s="361" t="s">
        <v>142</v>
      </c>
      <c r="N1" s="362"/>
      <c r="O1" s="362"/>
      <c r="P1" s="362"/>
      <c r="Q1" s="362"/>
      <c r="R1" s="362"/>
      <c r="S1" s="362"/>
      <c r="T1" s="362"/>
      <c r="U1" s="362"/>
      <c r="V1" s="363"/>
    </row>
    <row r="2" spans="1:22" ht="21.75" customHeight="1" thickBot="1">
      <c r="A2" s="602" t="s">
        <v>222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M2" s="607"/>
      <c r="N2" s="608"/>
      <c r="O2" s="608"/>
      <c r="P2" s="608"/>
      <c r="Q2" s="608"/>
      <c r="R2" s="608"/>
      <c r="S2" s="608"/>
      <c r="T2" s="608"/>
      <c r="U2" s="608"/>
      <c r="V2" s="609"/>
    </row>
    <row r="3" spans="1:22" ht="20.25" customHeight="1">
      <c r="A3" s="602" t="s">
        <v>223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M3" s="610" t="s">
        <v>454</v>
      </c>
      <c r="N3" s="611"/>
      <c r="O3" s="611"/>
      <c r="P3" s="611"/>
      <c r="Q3" s="611"/>
      <c r="R3" s="611"/>
      <c r="S3" s="611"/>
      <c r="T3" s="611"/>
      <c r="U3" s="611"/>
      <c r="V3" s="612"/>
    </row>
    <row r="4" spans="1:22" ht="18.75" customHeight="1">
      <c r="A4" s="602" t="s">
        <v>224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M4" s="613"/>
      <c r="N4" s="614"/>
      <c r="O4" s="614"/>
      <c r="P4" s="614"/>
      <c r="Q4" s="614"/>
      <c r="R4" s="614"/>
      <c r="S4" s="614"/>
      <c r="T4" s="614"/>
      <c r="U4" s="614"/>
      <c r="V4" s="615"/>
    </row>
    <row r="5" spans="1:22" ht="22.5" customHeight="1" thickBot="1">
      <c r="A5" s="603" t="s">
        <v>225</v>
      </c>
      <c r="B5" s="603"/>
      <c r="C5" s="603"/>
      <c r="D5" s="604"/>
      <c r="E5" s="605"/>
      <c r="F5" s="603" t="s">
        <v>226</v>
      </c>
      <c r="G5" s="603"/>
      <c r="H5" s="603"/>
      <c r="I5" s="604"/>
      <c r="J5" s="606"/>
      <c r="K5" s="605"/>
      <c r="M5" s="364"/>
      <c r="N5" s="365"/>
      <c r="O5" s="365"/>
      <c r="P5" s="365"/>
      <c r="Q5" s="365"/>
      <c r="R5" s="365"/>
      <c r="S5" s="365"/>
      <c r="T5" s="365"/>
      <c r="U5" s="365"/>
      <c r="V5" s="366"/>
    </row>
    <row r="6" spans="1:22" ht="25.5" customHeight="1" thickBot="1">
      <c r="A6" s="622" t="s">
        <v>227</v>
      </c>
      <c r="B6" s="623"/>
      <c r="C6" s="623"/>
      <c r="D6" s="623"/>
      <c r="E6" s="624"/>
      <c r="F6" s="625" t="s">
        <v>228</v>
      </c>
      <c r="G6" s="625"/>
      <c r="H6" s="625"/>
      <c r="I6" s="625"/>
      <c r="J6" s="625"/>
      <c r="K6" s="625"/>
      <c r="L6" s="141"/>
      <c r="M6" s="137" t="s">
        <v>169</v>
      </c>
      <c r="N6" s="138"/>
      <c r="O6" s="138"/>
      <c r="P6" s="139"/>
      <c r="Q6" s="129"/>
      <c r="R6" s="129"/>
      <c r="S6" s="129"/>
      <c r="T6" s="129"/>
      <c r="U6" s="129"/>
      <c r="V6" s="130"/>
    </row>
    <row r="7" spans="1:22" ht="20.25" customHeight="1">
      <c r="A7" s="626">
        <f>Profile!C6</f>
        <v>0</v>
      </c>
      <c r="B7" s="627"/>
      <c r="C7" s="627"/>
      <c r="D7" s="627"/>
      <c r="E7" s="627"/>
      <c r="F7" s="628" t="str">
        <f>Profile!C4</f>
        <v>KAILASH CHANDRA SHARMA</v>
      </c>
      <c r="G7" s="629"/>
      <c r="H7" s="629"/>
      <c r="I7" s="629"/>
      <c r="J7" s="629"/>
      <c r="K7" s="630"/>
      <c r="L7" s="142"/>
      <c r="M7" s="125"/>
      <c r="N7" s="126"/>
      <c r="O7" s="126"/>
      <c r="P7" s="127"/>
      <c r="Q7" s="126"/>
      <c r="R7" s="126"/>
      <c r="S7" s="126"/>
      <c r="T7" s="126"/>
      <c r="U7" s="126"/>
      <c r="V7" s="127"/>
    </row>
    <row r="8" spans="1:22" ht="17.25" customHeight="1">
      <c r="A8" s="626"/>
      <c r="B8" s="627"/>
      <c r="C8" s="627"/>
      <c r="D8" s="627"/>
      <c r="E8" s="627"/>
      <c r="F8" s="631">
        <f>Profile!C5</f>
        <v>0</v>
      </c>
      <c r="G8" s="632"/>
      <c r="H8" s="632"/>
      <c r="I8" s="632"/>
      <c r="J8" s="632"/>
      <c r="K8" s="633"/>
      <c r="L8" s="142"/>
      <c r="M8" s="131"/>
      <c r="N8" s="132"/>
      <c r="O8" s="132"/>
      <c r="P8" s="133"/>
      <c r="Q8" s="132"/>
      <c r="R8" s="132"/>
      <c r="S8" s="132"/>
      <c r="T8" s="132"/>
      <c r="U8" s="132"/>
      <c r="V8" s="133"/>
    </row>
    <row r="9" spans="1:22" ht="27.75" customHeight="1">
      <c r="A9" s="617" t="s">
        <v>229</v>
      </c>
      <c r="B9" s="617"/>
      <c r="C9" s="617"/>
      <c r="D9" s="617" t="s">
        <v>230</v>
      </c>
      <c r="E9" s="617"/>
      <c r="F9" s="617" t="s">
        <v>231</v>
      </c>
      <c r="G9" s="617"/>
      <c r="H9" s="617"/>
      <c r="I9" s="617" t="s">
        <v>232</v>
      </c>
      <c r="J9" s="617"/>
      <c r="K9" s="617"/>
      <c r="L9" s="142"/>
      <c r="M9" s="131"/>
      <c r="N9" s="132"/>
      <c r="O9" s="132"/>
      <c r="P9" s="133"/>
      <c r="Q9" s="132"/>
      <c r="R9" s="132"/>
      <c r="S9" s="132"/>
      <c r="T9" s="132"/>
      <c r="U9" s="132"/>
      <c r="V9" s="133"/>
    </row>
    <row r="10" spans="1:22" ht="24.75" customHeight="1">
      <c r="A10" s="616">
        <f>Profile!L6</f>
        <v>0</v>
      </c>
      <c r="B10" s="617"/>
      <c r="C10" s="617"/>
      <c r="D10" s="618">
        <f>Profile!L7</f>
        <v>0</v>
      </c>
      <c r="E10" s="619"/>
      <c r="F10" s="618">
        <f>Profile!C7</f>
        <v>0</v>
      </c>
      <c r="G10" s="618"/>
      <c r="H10" s="618"/>
      <c r="I10" s="618"/>
      <c r="J10" s="618"/>
      <c r="K10" s="618"/>
      <c r="L10" s="142"/>
      <c r="M10" s="131"/>
      <c r="N10" s="132"/>
      <c r="O10" s="132"/>
      <c r="P10" s="133"/>
      <c r="Q10" s="132"/>
      <c r="R10" s="132"/>
      <c r="S10" s="132"/>
      <c r="T10" s="132"/>
      <c r="U10" s="132"/>
      <c r="V10" s="133"/>
    </row>
    <row r="11" spans="1:22" ht="27" customHeight="1" thickBot="1">
      <c r="A11" s="620" t="s">
        <v>233</v>
      </c>
      <c r="B11" s="621"/>
      <c r="C11" s="621"/>
      <c r="D11" s="621"/>
      <c r="E11" s="621"/>
      <c r="F11" s="618" t="s">
        <v>234</v>
      </c>
      <c r="G11" s="618"/>
      <c r="H11" s="618" t="s">
        <v>235</v>
      </c>
      <c r="I11" s="618"/>
      <c r="J11" s="618"/>
      <c r="K11" s="618"/>
      <c r="L11" s="142"/>
      <c r="M11" s="134"/>
      <c r="N11" s="135"/>
      <c r="O11" s="135"/>
      <c r="P11" s="136"/>
      <c r="Q11" s="135"/>
      <c r="R11" s="135"/>
      <c r="S11" s="135"/>
      <c r="T11" s="135"/>
      <c r="U11" s="135"/>
      <c r="V11" s="136"/>
    </row>
    <row r="12" spans="1:22" ht="18" customHeight="1" thickBot="1">
      <c r="A12" s="143" t="s">
        <v>236</v>
      </c>
      <c r="B12" s="637" t="s">
        <v>237</v>
      </c>
      <c r="C12" s="637"/>
      <c r="D12" s="637"/>
      <c r="E12" s="638"/>
      <c r="F12" s="639" t="s">
        <v>485</v>
      </c>
      <c r="G12" s="639"/>
      <c r="H12" s="617" t="s">
        <v>238</v>
      </c>
      <c r="I12" s="617"/>
      <c r="J12" s="618" t="s">
        <v>239</v>
      </c>
      <c r="K12" s="618"/>
      <c r="L12" s="144"/>
      <c r="M12" s="128"/>
      <c r="N12" s="129"/>
      <c r="O12" s="129"/>
      <c r="P12" s="130"/>
      <c r="Q12" s="129"/>
      <c r="R12" s="129"/>
      <c r="S12" s="129"/>
      <c r="T12" s="129"/>
      <c r="U12" s="129"/>
      <c r="V12" s="130"/>
    </row>
    <row r="13" spans="1:22" ht="22.5" customHeight="1">
      <c r="A13" s="145" t="s">
        <v>240</v>
      </c>
      <c r="B13" s="640" t="s">
        <v>241</v>
      </c>
      <c r="C13" s="640"/>
      <c r="D13" s="146" t="s">
        <v>242</v>
      </c>
      <c r="E13" s="147">
        <v>302005</v>
      </c>
      <c r="F13" s="639"/>
      <c r="G13" s="639"/>
      <c r="H13" s="641" t="s">
        <v>486</v>
      </c>
      <c r="I13" s="641"/>
      <c r="J13" s="641" t="s">
        <v>487</v>
      </c>
      <c r="K13" s="641"/>
      <c r="L13" s="144"/>
      <c r="M13" s="148"/>
      <c r="N13" s="149"/>
      <c r="O13" s="149"/>
      <c r="P13" s="150"/>
      <c r="Q13" s="149"/>
      <c r="R13" s="149"/>
      <c r="S13" s="149"/>
      <c r="T13" s="149"/>
      <c r="V13" s="151"/>
    </row>
    <row r="14" spans="1:22" ht="24.75" customHeight="1">
      <c r="A14" s="634" t="s">
        <v>243</v>
      </c>
      <c r="B14" s="634"/>
      <c r="C14" s="634"/>
      <c r="D14" s="634"/>
      <c r="E14" s="634"/>
      <c r="F14" s="635"/>
      <c r="G14" s="635"/>
      <c r="H14" s="635"/>
      <c r="I14" s="635"/>
      <c r="J14" s="635"/>
      <c r="K14" s="635"/>
      <c r="L14" s="144"/>
      <c r="M14" s="152"/>
      <c r="N14" s="153"/>
      <c r="O14" s="153"/>
      <c r="P14" s="154"/>
      <c r="Q14" s="155"/>
      <c r="R14" s="155"/>
      <c r="S14" s="155"/>
      <c r="T14" s="155"/>
      <c r="V14" s="151"/>
    </row>
    <row r="15" spans="1:22" ht="43.5" customHeight="1" thickBot="1">
      <c r="A15" s="156" t="s">
        <v>244</v>
      </c>
      <c r="B15" s="636" t="s">
        <v>245</v>
      </c>
      <c r="C15" s="636"/>
      <c r="D15" s="636"/>
      <c r="E15" s="156" t="s">
        <v>246</v>
      </c>
      <c r="F15" s="636" t="s">
        <v>247</v>
      </c>
      <c r="G15" s="636"/>
      <c r="H15" s="636"/>
      <c r="I15" s="636" t="s">
        <v>248</v>
      </c>
      <c r="J15" s="636"/>
      <c r="K15" s="636"/>
      <c r="L15" s="144"/>
      <c r="M15" s="157"/>
      <c r="N15" s="158"/>
      <c r="O15" s="158"/>
      <c r="P15" s="159"/>
      <c r="Q15" s="160"/>
      <c r="R15" s="160"/>
      <c r="S15" s="160"/>
      <c r="T15" s="160"/>
      <c r="U15" s="161"/>
      <c r="V15" s="162"/>
    </row>
    <row r="16" spans="1:22" ht="25.5" customHeight="1">
      <c r="A16" s="163" t="s">
        <v>249</v>
      </c>
      <c r="B16" s="636">
        <f>Profile!E29</f>
        <v>0</v>
      </c>
      <c r="C16" s="636"/>
      <c r="D16" s="636"/>
      <c r="E16" s="124"/>
      <c r="F16" s="642">
        <f>Profile!E26</f>
        <v>0</v>
      </c>
      <c r="G16" s="642"/>
      <c r="H16" s="642"/>
      <c r="I16" s="642">
        <f>F16</f>
        <v>0</v>
      </c>
      <c r="J16" s="642"/>
      <c r="K16" s="642"/>
      <c r="L16" s="144"/>
      <c r="M16" s="644"/>
      <c r="N16" s="644"/>
      <c r="O16" s="644"/>
      <c r="P16" s="644"/>
      <c r="Q16" s="644"/>
      <c r="R16" s="644"/>
      <c r="S16" s="644"/>
      <c r="T16" s="644"/>
    </row>
    <row r="17" spans="1:20" ht="28.5" customHeight="1">
      <c r="A17" s="163" t="s">
        <v>250</v>
      </c>
      <c r="B17" s="636">
        <f>Profile!G29</f>
        <v>0</v>
      </c>
      <c r="C17" s="636"/>
      <c r="D17" s="636"/>
      <c r="E17" s="124"/>
      <c r="F17" s="642">
        <f>Profile!G26</f>
        <v>0</v>
      </c>
      <c r="G17" s="642"/>
      <c r="H17" s="642"/>
      <c r="I17" s="642">
        <f>F17</f>
        <v>0</v>
      </c>
      <c r="J17" s="642"/>
      <c r="K17" s="642"/>
      <c r="L17" s="144"/>
      <c r="M17" s="644"/>
      <c r="N17" s="644"/>
      <c r="O17" s="644"/>
      <c r="P17" s="644"/>
      <c r="Q17" s="644"/>
      <c r="R17" s="644"/>
      <c r="S17" s="644"/>
      <c r="T17" s="644"/>
    </row>
    <row r="18" spans="1:20" ht="27.75" customHeight="1">
      <c r="A18" s="163" t="s">
        <v>251</v>
      </c>
      <c r="B18" s="636">
        <f>Profile!I29</f>
        <v>0</v>
      </c>
      <c r="C18" s="636"/>
      <c r="D18" s="636"/>
      <c r="E18" s="124"/>
      <c r="F18" s="642">
        <f>Profile!I26</f>
        <v>0</v>
      </c>
      <c r="G18" s="642"/>
      <c r="H18" s="642"/>
      <c r="I18" s="642">
        <f>F18</f>
        <v>0</v>
      </c>
      <c r="J18" s="642"/>
      <c r="K18" s="642"/>
    </row>
    <row r="19" spans="1:20" ht="31.5" customHeight="1">
      <c r="A19" s="163" t="s">
        <v>252</v>
      </c>
      <c r="B19" s="636">
        <f>Profile!K29</f>
        <v>0</v>
      </c>
      <c r="C19" s="636"/>
      <c r="D19" s="636"/>
      <c r="E19" s="124"/>
      <c r="F19" s="642">
        <f>Profile!K26</f>
        <v>0</v>
      </c>
      <c r="G19" s="642"/>
      <c r="H19" s="642"/>
      <c r="I19" s="642">
        <f>F19</f>
        <v>0</v>
      </c>
      <c r="J19" s="642"/>
      <c r="K19" s="642"/>
    </row>
    <row r="20" spans="1:20" ht="25.5" customHeight="1">
      <c r="A20" s="619" t="s">
        <v>168</v>
      </c>
      <c r="B20" s="621"/>
      <c r="C20" s="621"/>
      <c r="D20" s="621"/>
      <c r="E20" s="164">
        <f>SUM(E16:E19)</f>
        <v>0</v>
      </c>
      <c r="F20" s="643">
        <f>SUM(F16:F19)</f>
        <v>0</v>
      </c>
      <c r="G20" s="643"/>
      <c r="H20" s="643"/>
      <c r="I20" s="643">
        <f>SUM(I16:I19)</f>
        <v>0</v>
      </c>
      <c r="J20" s="643"/>
      <c r="K20" s="643"/>
    </row>
    <row r="21" spans="1:20" ht="15.95" hidden="1" customHeight="1">
      <c r="A21" s="628" t="s">
        <v>253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30"/>
    </row>
    <row r="22" spans="1:20" ht="15.95" hidden="1" customHeight="1">
      <c r="A22" s="646" t="s">
        <v>254</v>
      </c>
      <c r="B22" s="647"/>
      <c r="C22" s="647"/>
      <c r="D22" s="647"/>
      <c r="E22" s="647"/>
      <c r="F22" s="647"/>
      <c r="G22" s="647"/>
      <c r="H22" s="647"/>
      <c r="I22" s="647"/>
      <c r="J22" s="647"/>
      <c r="K22" s="648"/>
    </row>
    <row r="23" spans="1:20" ht="17.25" hidden="1" customHeight="1">
      <c r="A23" s="649" t="s">
        <v>255</v>
      </c>
      <c r="B23" s="649" t="s">
        <v>256</v>
      </c>
      <c r="C23" s="649"/>
      <c r="D23" s="650" t="s">
        <v>257</v>
      </c>
      <c r="E23" s="650"/>
      <c r="F23" s="650"/>
      <c r="G23" s="650"/>
      <c r="H23" s="650"/>
      <c r="I23" s="650"/>
      <c r="J23" s="650"/>
      <c r="K23" s="650"/>
    </row>
    <row r="24" spans="1:20" ht="24.75" hidden="1" customHeight="1">
      <c r="A24" s="649"/>
      <c r="B24" s="649"/>
      <c r="C24" s="649"/>
      <c r="D24" s="165" t="s">
        <v>258</v>
      </c>
      <c r="E24" s="166" t="s">
        <v>259</v>
      </c>
      <c r="F24" s="649" t="s">
        <v>260</v>
      </c>
      <c r="G24" s="649"/>
      <c r="H24" s="649"/>
      <c r="I24" s="651" t="s">
        <v>261</v>
      </c>
      <c r="J24" s="651"/>
      <c r="K24" s="651"/>
    </row>
    <row r="25" spans="1:20" ht="15" hidden="1" customHeight="1">
      <c r="A25" s="156">
        <v>1</v>
      </c>
      <c r="B25" s="636">
        <f>Salary!U6</f>
        <v>12000</v>
      </c>
      <c r="C25" s="636"/>
      <c r="D25" s="167" t="e">
        <f>IF([2]profile!B32="","",[2]profile!B32)</f>
        <v>#REF!</v>
      </c>
      <c r="E25" s="167" t="e">
        <f>IF([2]profile!B33="","",[2]profile!B33)</f>
        <v>#REF!</v>
      </c>
      <c r="F25" s="645" t="e">
        <f>IF([2]profile!B34="","",[2]profile!B34)</f>
        <v>#REF!</v>
      </c>
      <c r="G25" s="645"/>
      <c r="H25" s="645"/>
      <c r="I25" s="636" t="e">
        <f>IF(D25&gt;"0","Yes","")</f>
        <v>#REF!</v>
      </c>
      <c r="J25" s="636"/>
      <c r="K25" s="636"/>
    </row>
    <row r="26" spans="1:20" ht="15" hidden="1" customHeight="1">
      <c r="A26" s="156">
        <v>2</v>
      </c>
      <c r="B26" s="636">
        <f>Salary!U7</f>
        <v>12000</v>
      </c>
      <c r="C26" s="636"/>
      <c r="D26" s="167" t="e">
        <f>IF([2]profile!C32="","",[2]profile!C32)</f>
        <v>#REF!</v>
      </c>
      <c r="E26" s="167" t="e">
        <f>IF([2]profile!C33="","",[2]profile!C33)</f>
        <v>#REF!</v>
      </c>
      <c r="F26" s="645" t="e">
        <f>IF([2]profile!C34="","",[2]profile!C34)</f>
        <v>#REF!</v>
      </c>
      <c r="G26" s="645"/>
      <c r="H26" s="645"/>
      <c r="I26" s="636" t="e">
        <f t="shared" ref="I26:I39" si="0">IF(D26&gt;"0","Yes","")</f>
        <v>#REF!</v>
      </c>
      <c r="J26" s="636"/>
      <c r="K26" s="636"/>
    </row>
    <row r="27" spans="1:20" ht="15" hidden="1" customHeight="1">
      <c r="A27" s="156">
        <v>3</v>
      </c>
      <c r="B27" s="636">
        <f>Salary!U8</f>
        <v>12000</v>
      </c>
      <c r="C27" s="636"/>
      <c r="D27" s="167" t="e">
        <f>IF([2]profile!D32="","",[2]profile!D32)</f>
        <v>#REF!</v>
      </c>
      <c r="E27" s="167" t="e">
        <f>IF([2]profile!D33="","",[2]profile!D33)</f>
        <v>#REF!</v>
      </c>
      <c r="F27" s="645" t="e">
        <f>IF([2]profile!D34="","",[2]profile!D34)</f>
        <v>#REF!</v>
      </c>
      <c r="G27" s="645"/>
      <c r="H27" s="645"/>
      <c r="I27" s="636" t="e">
        <f t="shared" si="0"/>
        <v>#REF!</v>
      </c>
      <c r="J27" s="636"/>
      <c r="K27" s="636"/>
    </row>
    <row r="28" spans="1:20" ht="15" hidden="1" customHeight="1">
      <c r="A28" s="156">
        <v>4</v>
      </c>
      <c r="B28" s="636">
        <f>Salary!U9</f>
        <v>12000</v>
      </c>
      <c r="C28" s="636"/>
      <c r="D28" s="167" t="e">
        <f>IF([2]profile!E32="","",[2]profile!E32)</f>
        <v>#REF!</v>
      </c>
      <c r="E28" s="167" t="e">
        <f>IF([2]profile!E33="","",[2]profile!E33)</f>
        <v>#REF!</v>
      </c>
      <c r="F28" s="645" t="e">
        <f>IF([2]profile!E34="","",[2]profile!E34)</f>
        <v>#REF!</v>
      </c>
      <c r="G28" s="645"/>
      <c r="H28" s="645"/>
      <c r="I28" s="636" t="e">
        <f t="shared" si="0"/>
        <v>#REF!</v>
      </c>
      <c r="J28" s="636"/>
      <c r="K28" s="636"/>
    </row>
    <row r="29" spans="1:20" ht="15" hidden="1" customHeight="1">
      <c r="A29" s="156">
        <v>5</v>
      </c>
      <c r="B29" s="636">
        <f>Salary!U10</f>
        <v>12000</v>
      </c>
      <c r="C29" s="636"/>
      <c r="D29" s="167" t="e">
        <f>IF([2]profile!F32="","",[2]profile!F32)</f>
        <v>#REF!</v>
      </c>
      <c r="E29" s="167" t="e">
        <f>IF([2]profile!F33="","",[2]profile!F33)</f>
        <v>#REF!</v>
      </c>
      <c r="F29" s="645" t="e">
        <f>IF([2]profile!F34="","",[2]profile!F34)</f>
        <v>#REF!</v>
      </c>
      <c r="G29" s="645"/>
      <c r="H29" s="645"/>
      <c r="I29" s="636" t="e">
        <f t="shared" si="0"/>
        <v>#REF!</v>
      </c>
      <c r="J29" s="636"/>
      <c r="K29" s="636"/>
    </row>
    <row r="30" spans="1:20" ht="15" hidden="1" customHeight="1">
      <c r="A30" s="156">
        <v>6</v>
      </c>
      <c r="B30" s="636">
        <f>Salary!U11</f>
        <v>12000</v>
      </c>
      <c r="C30" s="636"/>
      <c r="D30" s="167" t="e">
        <f>IF([2]profile!G32="","",[2]profile!G32)</f>
        <v>#REF!</v>
      </c>
      <c r="E30" s="167" t="e">
        <f>IF([2]profile!G33="","",[2]profile!G33)</f>
        <v>#REF!</v>
      </c>
      <c r="F30" s="645" t="e">
        <f>IF([2]profile!G34="","",[2]profile!G34)</f>
        <v>#REF!</v>
      </c>
      <c r="G30" s="645"/>
      <c r="H30" s="645"/>
      <c r="I30" s="636" t="e">
        <f t="shared" si="0"/>
        <v>#REF!</v>
      </c>
      <c r="J30" s="636"/>
      <c r="K30" s="636"/>
    </row>
    <row r="31" spans="1:20" ht="15" hidden="1" customHeight="1">
      <c r="A31" s="156">
        <v>7</v>
      </c>
      <c r="B31" s="636">
        <f>Salary!U12</f>
        <v>12000</v>
      </c>
      <c r="C31" s="636"/>
      <c r="D31" s="167" t="e">
        <f>IF([2]profile!H32="","",[2]profile!H32)</f>
        <v>#REF!</v>
      </c>
      <c r="E31" s="167" t="e">
        <f>IF([2]profile!H33="","",[2]profile!H33)</f>
        <v>#REF!</v>
      </c>
      <c r="F31" s="645" t="e">
        <f>IF([2]profile!H34="","",[2]profile!H34)</f>
        <v>#REF!</v>
      </c>
      <c r="G31" s="645"/>
      <c r="H31" s="645"/>
      <c r="I31" s="636" t="e">
        <f t="shared" si="0"/>
        <v>#REF!</v>
      </c>
      <c r="J31" s="636"/>
      <c r="K31" s="636"/>
    </row>
    <row r="32" spans="1:20" ht="15" hidden="1" customHeight="1">
      <c r="A32" s="156">
        <v>8</v>
      </c>
      <c r="B32" s="636">
        <f>Salary!U13</f>
        <v>12000</v>
      </c>
      <c r="C32" s="636"/>
      <c r="D32" s="167" t="e">
        <f>IF([2]profile!I32="","",[2]profile!I32)</f>
        <v>#REF!</v>
      </c>
      <c r="E32" s="167" t="e">
        <f>IF([2]profile!I33="","",[2]profile!I33)</f>
        <v>#REF!</v>
      </c>
      <c r="F32" s="645" t="e">
        <f>IF([2]profile!I34="","",[2]profile!I34)</f>
        <v>#REF!</v>
      </c>
      <c r="G32" s="645"/>
      <c r="H32" s="645"/>
      <c r="I32" s="636" t="e">
        <f t="shared" si="0"/>
        <v>#REF!</v>
      </c>
      <c r="J32" s="636"/>
      <c r="K32" s="636"/>
    </row>
    <row r="33" spans="1:11" ht="15" hidden="1" customHeight="1">
      <c r="A33" s="156">
        <v>9</v>
      </c>
      <c r="B33" s="636">
        <f>Salary!U14</f>
        <v>0</v>
      </c>
      <c r="C33" s="636"/>
      <c r="D33" s="167" t="e">
        <f>IF([2]profile!J32="","",[2]profile!J32)</f>
        <v>#REF!</v>
      </c>
      <c r="E33" s="167" t="e">
        <f>IF([2]profile!J33="","",[2]profile!J33)</f>
        <v>#REF!</v>
      </c>
      <c r="F33" s="645" t="e">
        <f>IF([2]profile!J34="","",[2]profile!J34)</f>
        <v>#REF!</v>
      </c>
      <c r="G33" s="645"/>
      <c r="H33" s="645"/>
      <c r="I33" s="636" t="e">
        <f t="shared" si="0"/>
        <v>#REF!</v>
      </c>
      <c r="J33" s="636"/>
      <c r="K33" s="636"/>
    </row>
    <row r="34" spans="1:11" ht="15" hidden="1" customHeight="1">
      <c r="A34" s="156">
        <v>10</v>
      </c>
      <c r="B34" s="636">
        <f>Salary!U15</f>
        <v>0</v>
      </c>
      <c r="C34" s="636"/>
      <c r="D34" s="167" t="e">
        <f>IF([2]profile!K32="","",[2]profile!K32)</f>
        <v>#REF!</v>
      </c>
      <c r="E34" s="167" t="e">
        <f>IF([2]profile!K33="","",[2]profile!K33)</f>
        <v>#REF!</v>
      </c>
      <c r="F34" s="645" t="e">
        <f>IF([2]profile!K34="","",[2]profile!K34)</f>
        <v>#REF!</v>
      </c>
      <c r="G34" s="645"/>
      <c r="H34" s="645"/>
      <c r="I34" s="636" t="e">
        <f t="shared" si="0"/>
        <v>#REF!</v>
      </c>
      <c r="J34" s="636"/>
      <c r="K34" s="636"/>
    </row>
    <row r="35" spans="1:11" ht="15" hidden="1" customHeight="1">
      <c r="A35" s="156">
        <v>11</v>
      </c>
      <c r="B35" s="636">
        <f>Salary!U16</f>
        <v>0</v>
      </c>
      <c r="C35" s="636"/>
      <c r="D35" s="167" t="e">
        <f>IF([2]profile!M32="","",[2]profile!M32)</f>
        <v>#REF!</v>
      </c>
      <c r="E35" s="167" t="e">
        <f>IF([2]profile!M33="","",[2]profile!M33)</f>
        <v>#REF!</v>
      </c>
      <c r="F35" s="645" t="e">
        <f>IF([2]profile!M34="","",[2]profile!M34)</f>
        <v>#REF!</v>
      </c>
      <c r="G35" s="645"/>
      <c r="H35" s="645"/>
      <c r="I35" s="636" t="e">
        <f t="shared" si="0"/>
        <v>#REF!</v>
      </c>
      <c r="J35" s="636"/>
      <c r="K35" s="636"/>
    </row>
    <row r="36" spans="1:11" ht="15" hidden="1" customHeight="1">
      <c r="A36" s="156">
        <v>12</v>
      </c>
      <c r="B36" s="636">
        <f>Salary!U17</f>
        <v>0</v>
      </c>
      <c r="C36" s="636"/>
      <c r="D36" s="167" t="e">
        <f>IF([2]profile!O32="","",[2]profile!O32)</f>
        <v>#REF!</v>
      </c>
      <c r="E36" s="167" t="e">
        <f>IF([2]profile!O33="","",[2]profile!O33)</f>
        <v>#REF!</v>
      </c>
      <c r="F36" s="645" t="e">
        <f>IF([2]profile!O34="","",[2]profile!O34)</f>
        <v>#REF!</v>
      </c>
      <c r="G36" s="645"/>
      <c r="H36" s="645"/>
      <c r="I36" s="636" t="e">
        <f t="shared" si="0"/>
        <v>#REF!</v>
      </c>
      <c r="J36" s="636"/>
      <c r="K36" s="636"/>
    </row>
    <row r="37" spans="1:11" ht="15" hidden="1" customHeight="1">
      <c r="A37" s="156">
        <v>13</v>
      </c>
      <c r="B37" s="636">
        <f>Salary!U18</f>
        <v>0</v>
      </c>
      <c r="C37" s="636"/>
      <c r="D37" s="167" t="e">
        <f>IF([2]profile!Q32="","",[2]profile!Q32)</f>
        <v>#REF!</v>
      </c>
      <c r="E37" s="167" t="e">
        <f>IF([2]profile!Q33="","",[2]profile!Q33)</f>
        <v>#REF!</v>
      </c>
      <c r="F37" s="645" t="e">
        <f>IF([2]profile!Q34="","",[2]profile!Q34)</f>
        <v>#REF!</v>
      </c>
      <c r="G37" s="645"/>
      <c r="H37" s="645"/>
      <c r="I37" s="636" t="e">
        <f t="shared" si="0"/>
        <v>#REF!</v>
      </c>
      <c r="J37" s="636"/>
      <c r="K37" s="636"/>
    </row>
    <row r="38" spans="1:11" ht="15" hidden="1" customHeight="1">
      <c r="A38" s="156">
        <v>14</v>
      </c>
      <c r="B38" s="636">
        <f>Salary!U19</f>
        <v>0</v>
      </c>
      <c r="C38" s="636"/>
      <c r="D38" s="167" t="e">
        <f>IF([2]profile!S32="","",[2]profile!S32)</f>
        <v>#REF!</v>
      </c>
      <c r="E38" s="167" t="e">
        <f>IF([2]profile!S33="","",[2]profile!S33)</f>
        <v>#REF!</v>
      </c>
      <c r="F38" s="645" t="e">
        <f>IF([2]profile!S34="","",[2]profile!S34)</f>
        <v>#REF!</v>
      </c>
      <c r="G38" s="645"/>
      <c r="H38" s="645"/>
      <c r="I38" s="636" t="e">
        <f t="shared" si="0"/>
        <v>#REF!</v>
      </c>
      <c r="J38" s="636"/>
      <c r="K38" s="636"/>
    </row>
    <row r="39" spans="1:11" ht="15" hidden="1" customHeight="1">
      <c r="A39" s="156">
        <v>15</v>
      </c>
      <c r="B39" s="654"/>
      <c r="C39" s="655"/>
      <c r="D39" s="168"/>
      <c r="E39" s="169"/>
      <c r="F39" s="656"/>
      <c r="G39" s="656"/>
      <c r="H39" s="656"/>
      <c r="I39" s="657" t="str">
        <f t="shared" si="0"/>
        <v/>
      </c>
      <c r="J39" s="657"/>
      <c r="K39" s="657"/>
    </row>
    <row r="40" spans="1:11" ht="15" hidden="1" customHeight="1">
      <c r="A40" s="170" t="s">
        <v>262</v>
      </c>
      <c r="B40" s="627">
        <f>SUM(B25:B39)</f>
        <v>96000</v>
      </c>
      <c r="C40" s="627"/>
      <c r="D40" s="658"/>
      <c r="E40" s="659"/>
      <c r="F40" s="659"/>
      <c r="G40" s="659"/>
      <c r="H40" s="659"/>
      <c r="I40" s="659"/>
      <c r="J40" s="659"/>
      <c r="K40" s="660"/>
    </row>
    <row r="41" spans="1:11" ht="15.75" hidden="1" customHeight="1">
      <c r="A41" s="618" t="s">
        <v>263</v>
      </c>
      <c r="B41" s="618"/>
      <c r="C41" s="618"/>
      <c r="D41" s="618"/>
      <c r="E41" s="618"/>
      <c r="F41" s="618"/>
      <c r="G41" s="618"/>
      <c r="H41" s="618"/>
      <c r="I41" s="618"/>
      <c r="J41" s="618"/>
      <c r="K41" s="618"/>
    </row>
    <row r="42" spans="1:11" ht="15.75" hidden="1" customHeight="1">
      <c r="A42" s="646" t="s">
        <v>264</v>
      </c>
      <c r="B42" s="647"/>
      <c r="C42" s="647"/>
      <c r="D42" s="647"/>
      <c r="E42" s="647"/>
      <c r="F42" s="647"/>
      <c r="G42" s="647"/>
      <c r="H42" s="647"/>
      <c r="I42" s="647"/>
      <c r="J42" s="647"/>
      <c r="K42" s="648"/>
    </row>
    <row r="43" spans="1:11" ht="15.75" hidden="1" customHeight="1">
      <c r="A43" s="650" t="s">
        <v>255</v>
      </c>
      <c r="B43" s="650" t="s">
        <v>265</v>
      </c>
      <c r="C43" s="650"/>
      <c r="D43" s="650" t="s">
        <v>266</v>
      </c>
      <c r="E43" s="650"/>
      <c r="F43" s="650"/>
      <c r="G43" s="650"/>
      <c r="H43" s="650"/>
      <c r="I43" s="650"/>
      <c r="J43" s="650"/>
      <c r="K43" s="650"/>
    </row>
    <row r="44" spans="1:11" ht="29.25" hidden="1" customHeight="1">
      <c r="A44" s="650"/>
      <c r="B44" s="650"/>
      <c r="C44" s="650"/>
      <c r="D44" s="651" t="s">
        <v>267</v>
      </c>
      <c r="E44" s="651"/>
      <c r="F44" s="652" t="s">
        <v>268</v>
      </c>
      <c r="G44" s="653"/>
      <c r="H44" s="651" t="s">
        <v>269</v>
      </c>
      <c r="I44" s="651"/>
      <c r="J44" s="651" t="s">
        <v>270</v>
      </c>
      <c r="K44" s="651"/>
    </row>
    <row r="45" spans="1:11" ht="15" hidden="1" customHeight="1">
      <c r="A45" s="156">
        <v>1</v>
      </c>
      <c r="B45" s="636"/>
      <c r="C45" s="636"/>
      <c r="D45" s="645"/>
      <c r="E45" s="645"/>
      <c r="F45" s="661"/>
      <c r="G45" s="661"/>
      <c r="H45" s="662"/>
      <c r="I45" s="662"/>
      <c r="J45" s="661"/>
      <c r="K45" s="661"/>
    </row>
    <row r="46" spans="1:11" ht="15" hidden="1" customHeight="1">
      <c r="A46" s="156">
        <v>2</v>
      </c>
      <c r="B46" s="636"/>
      <c r="C46" s="636"/>
      <c r="D46" s="645"/>
      <c r="E46" s="645"/>
      <c r="F46" s="661"/>
      <c r="G46" s="661"/>
      <c r="H46" s="662"/>
      <c r="I46" s="662"/>
      <c r="J46" s="661"/>
      <c r="K46" s="661"/>
    </row>
    <row r="47" spans="1:11" ht="15" hidden="1" customHeight="1">
      <c r="A47" s="156">
        <v>3</v>
      </c>
      <c r="B47" s="636"/>
      <c r="C47" s="636"/>
      <c r="D47" s="645"/>
      <c r="E47" s="645"/>
      <c r="F47" s="661"/>
      <c r="G47" s="661"/>
      <c r="H47" s="662"/>
      <c r="I47" s="662"/>
      <c r="J47" s="661"/>
      <c r="K47" s="661"/>
    </row>
    <row r="48" spans="1:11" ht="15" hidden="1" customHeight="1">
      <c r="A48" s="156">
        <v>4</v>
      </c>
      <c r="B48" s="636"/>
      <c r="C48" s="636"/>
      <c r="D48" s="645"/>
      <c r="E48" s="645"/>
      <c r="F48" s="661"/>
      <c r="G48" s="661"/>
      <c r="H48" s="662"/>
      <c r="I48" s="662"/>
      <c r="J48" s="661"/>
      <c r="K48" s="661"/>
    </row>
    <row r="49" spans="1:11" ht="15" hidden="1" customHeight="1">
      <c r="A49" s="156">
        <v>5</v>
      </c>
      <c r="B49" s="636"/>
      <c r="C49" s="636"/>
      <c r="D49" s="645"/>
      <c r="E49" s="645"/>
      <c r="F49" s="661"/>
      <c r="G49" s="661"/>
      <c r="H49" s="662"/>
      <c r="I49" s="662"/>
      <c r="J49" s="661"/>
      <c r="K49" s="661"/>
    </row>
    <row r="50" spans="1:11" ht="15" hidden="1" customHeight="1">
      <c r="A50" s="156">
        <v>6</v>
      </c>
      <c r="B50" s="636"/>
      <c r="C50" s="636"/>
      <c r="D50" s="645"/>
      <c r="E50" s="645"/>
      <c r="F50" s="661"/>
      <c r="G50" s="661"/>
      <c r="H50" s="662"/>
      <c r="I50" s="662"/>
      <c r="J50" s="661"/>
      <c r="K50" s="661"/>
    </row>
    <row r="51" spans="1:11" ht="15" hidden="1" customHeight="1">
      <c r="A51" s="156">
        <v>7</v>
      </c>
      <c r="B51" s="636"/>
      <c r="C51" s="636"/>
      <c r="D51" s="645"/>
      <c r="E51" s="645"/>
      <c r="F51" s="661"/>
      <c r="G51" s="661"/>
      <c r="H51" s="662"/>
      <c r="I51" s="662"/>
      <c r="J51" s="661"/>
      <c r="K51" s="661"/>
    </row>
    <row r="52" spans="1:11" ht="15" hidden="1" customHeight="1">
      <c r="A52" s="156">
        <v>8</v>
      </c>
      <c r="B52" s="636"/>
      <c r="C52" s="636"/>
      <c r="D52" s="645"/>
      <c r="E52" s="645"/>
      <c r="F52" s="661"/>
      <c r="G52" s="661"/>
      <c r="H52" s="662"/>
      <c r="I52" s="662"/>
      <c r="J52" s="661"/>
      <c r="K52" s="661"/>
    </row>
    <row r="53" spans="1:11" ht="15" hidden="1" customHeight="1">
      <c r="A53" s="156">
        <v>9</v>
      </c>
      <c r="B53" s="636"/>
      <c r="C53" s="636"/>
      <c r="D53" s="645"/>
      <c r="E53" s="645"/>
      <c r="F53" s="661"/>
      <c r="G53" s="661"/>
      <c r="H53" s="662"/>
      <c r="I53" s="662"/>
      <c r="J53" s="661"/>
      <c r="K53" s="661"/>
    </row>
    <row r="54" spans="1:11" ht="15" hidden="1" customHeight="1">
      <c r="A54" s="156">
        <v>10</v>
      </c>
      <c r="B54" s="636"/>
      <c r="C54" s="636"/>
      <c r="D54" s="645"/>
      <c r="E54" s="645"/>
      <c r="F54" s="661"/>
      <c r="G54" s="661"/>
      <c r="H54" s="662"/>
      <c r="I54" s="662"/>
      <c r="J54" s="661"/>
      <c r="K54" s="661"/>
    </row>
    <row r="55" spans="1:11" ht="15" hidden="1" customHeight="1">
      <c r="A55" s="156">
        <v>11</v>
      </c>
      <c r="B55" s="636"/>
      <c r="C55" s="636"/>
      <c r="D55" s="645"/>
      <c r="E55" s="645"/>
      <c r="F55" s="661"/>
      <c r="G55" s="661"/>
      <c r="H55" s="662"/>
      <c r="I55" s="662"/>
      <c r="J55" s="661"/>
      <c r="K55" s="661"/>
    </row>
    <row r="56" spans="1:11" ht="15" hidden="1" customHeight="1">
      <c r="A56" s="156">
        <v>12</v>
      </c>
      <c r="B56" s="636"/>
      <c r="C56" s="636"/>
      <c r="D56" s="645"/>
      <c r="E56" s="645"/>
      <c r="F56" s="661"/>
      <c r="G56" s="661"/>
      <c r="H56" s="662"/>
      <c r="I56" s="662"/>
      <c r="J56" s="661"/>
      <c r="K56" s="661"/>
    </row>
    <row r="57" spans="1:11" ht="15" hidden="1" customHeight="1">
      <c r="A57" s="156">
        <v>13</v>
      </c>
      <c r="B57" s="636"/>
      <c r="C57" s="636"/>
      <c r="D57" s="645"/>
      <c r="E57" s="645"/>
      <c r="F57" s="661"/>
      <c r="G57" s="661"/>
      <c r="H57" s="662"/>
      <c r="I57" s="662"/>
      <c r="J57" s="661"/>
      <c r="K57" s="661"/>
    </row>
    <row r="58" spans="1:11" ht="15" hidden="1" customHeight="1">
      <c r="A58" s="156">
        <v>14</v>
      </c>
      <c r="B58" s="636"/>
      <c r="C58" s="636"/>
      <c r="D58" s="645"/>
      <c r="E58" s="645"/>
      <c r="F58" s="661"/>
      <c r="G58" s="661"/>
      <c r="H58" s="662"/>
      <c r="I58" s="662"/>
      <c r="J58" s="661"/>
      <c r="K58" s="661"/>
    </row>
    <row r="59" spans="1:11" ht="15" hidden="1" customHeight="1">
      <c r="A59" s="156">
        <v>15</v>
      </c>
      <c r="B59" s="636"/>
      <c r="C59" s="636"/>
      <c r="D59" s="645"/>
      <c r="E59" s="645"/>
      <c r="F59" s="661"/>
      <c r="G59" s="661"/>
      <c r="H59" s="662"/>
      <c r="I59" s="662"/>
      <c r="J59" s="661"/>
      <c r="K59" s="661"/>
    </row>
    <row r="60" spans="1:11" ht="15" hidden="1" customHeight="1">
      <c r="A60" s="170" t="s">
        <v>262</v>
      </c>
      <c r="B60" s="627">
        <f>SUM(B45:B59)</f>
        <v>0</v>
      </c>
      <c r="C60" s="627"/>
      <c r="D60" s="658"/>
      <c r="E60" s="659"/>
      <c r="F60" s="632"/>
      <c r="G60" s="632"/>
      <c r="H60" s="632"/>
      <c r="I60" s="632"/>
      <c r="J60" s="632"/>
      <c r="K60" s="633"/>
    </row>
    <row r="61" spans="1:11" ht="30" customHeight="1">
      <c r="A61" s="663" t="s">
        <v>271</v>
      </c>
      <c r="B61" s="663"/>
      <c r="C61" s="663"/>
      <c r="D61" s="663"/>
      <c r="E61" s="663"/>
      <c r="F61" s="663"/>
      <c r="G61" s="663"/>
      <c r="H61" s="663"/>
      <c r="I61" s="663"/>
      <c r="J61" s="663"/>
      <c r="K61" s="663"/>
    </row>
    <row r="62" spans="1:11" ht="26.25" customHeight="1">
      <c r="A62" s="265" t="s">
        <v>272</v>
      </c>
      <c r="B62" s="664">
        <f>Profile!I6</f>
        <v>0</v>
      </c>
      <c r="C62" s="664"/>
      <c r="D62" s="664"/>
      <c r="E62" s="264" t="s">
        <v>273</v>
      </c>
      <c r="F62" s="664">
        <f>Profile!I7</f>
        <v>0</v>
      </c>
      <c r="G62" s="664"/>
      <c r="H62" s="664"/>
      <c r="I62" s="664"/>
      <c r="J62" s="664" t="s">
        <v>274</v>
      </c>
      <c r="K62" s="664"/>
    </row>
    <row r="63" spans="1:11" ht="24.75" customHeight="1">
      <c r="A63" s="664" t="s">
        <v>275</v>
      </c>
      <c r="B63" s="664"/>
      <c r="C63" s="664" t="str">
        <f>Profile!G8</f>
        <v>PRINCIPAL</v>
      </c>
      <c r="D63" s="664"/>
      <c r="E63" s="664"/>
      <c r="F63" s="664" t="s">
        <v>276</v>
      </c>
      <c r="G63" s="664"/>
      <c r="H63" s="664"/>
      <c r="I63" s="664"/>
      <c r="J63" s="664"/>
      <c r="K63" s="664"/>
    </row>
    <row r="64" spans="1:11" ht="27.75" customHeight="1">
      <c r="A64" s="197" t="s">
        <v>277</v>
      </c>
      <c r="B64" s="200">
        <f>I20</f>
        <v>0</v>
      </c>
      <c r="C64" s="667">
        <f>SpellNumber($B$64)</f>
        <v>0</v>
      </c>
      <c r="D64" s="667"/>
      <c r="E64" s="667"/>
      <c r="F64" s="667"/>
      <c r="G64" s="667"/>
      <c r="H64" s="668" t="s">
        <v>278</v>
      </c>
      <c r="I64" s="668"/>
      <c r="J64" s="668"/>
      <c r="K64" s="668"/>
    </row>
    <row r="65" spans="1:11" ht="25.5" customHeight="1">
      <c r="A65" s="665" t="s">
        <v>279</v>
      </c>
      <c r="B65" s="665"/>
      <c r="C65" s="665"/>
      <c r="D65" s="665"/>
      <c r="E65" s="665"/>
      <c r="F65" s="665"/>
      <c r="G65" s="665"/>
      <c r="H65" s="665"/>
      <c r="I65" s="665"/>
      <c r="J65" s="665"/>
      <c r="K65" s="665"/>
    </row>
    <row r="66" spans="1:11" ht="29.25" customHeight="1">
      <c r="A66" s="665" t="s">
        <v>280</v>
      </c>
      <c r="B66" s="665"/>
      <c r="C66" s="665"/>
      <c r="D66" s="665"/>
      <c r="E66" s="665"/>
      <c r="F66" s="665"/>
      <c r="G66" s="665"/>
      <c r="H66" s="665"/>
      <c r="I66" s="665"/>
      <c r="J66" s="665"/>
      <c r="K66" s="665"/>
    </row>
    <row r="67" spans="1:11" ht="19.5" customHeight="1">
      <c r="A67" s="617" t="s">
        <v>281</v>
      </c>
      <c r="B67" s="617"/>
      <c r="C67" s="669"/>
      <c r="D67" s="669"/>
      <c r="E67" s="617"/>
      <c r="F67" s="617"/>
      <c r="G67" s="617"/>
      <c r="H67" s="617"/>
      <c r="I67" s="617"/>
      <c r="J67" s="617"/>
      <c r="K67" s="617"/>
    </row>
    <row r="68" spans="1:11" ht="21.75" customHeight="1">
      <c r="A68" s="617" t="s">
        <v>282</v>
      </c>
      <c r="B68" s="617"/>
      <c r="C68" s="777"/>
      <c r="D68" s="777"/>
      <c r="E68" s="617" t="s">
        <v>283</v>
      </c>
      <c r="F68" s="617"/>
      <c r="G68" s="617"/>
      <c r="H68" s="617"/>
      <c r="I68" s="617"/>
      <c r="J68" s="617"/>
      <c r="K68" s="617"/>
    </row>
    <row r="69" spans="1:11" ht="24" customHeight="1">
      <c r="A69" s="665" t="s">
        <v>284</v>
      </c>
      <c r="B69" s="665"/>
      <c r="C69" s="666" t="str">
        <f>Profile!G8</f>
        <v>PRINCIPAL</v>
      </c>
      <c r="D69" s="666"/>
      <c r="E69" s="264" t="s">
        <v>285</v>
      </c>
      <c r="F69" s="665">
        <f>Profile!I6</f>
        <v>0</v>
      </c>
      <c r="G69" s="665"/>
      <c r="H69" s="665"/>
      <c r="I69" s="665"/>
      <c r="J69" s="665"/>
      <c r="K69" s="665"/>
    </row>
    <row r="70" spans="1:11" ht="32.25" customHeight="1">
      <c r="A70" s="618" t="s">
        <v>286</v>
      </c>
      <c r="B70" s="618"/>
      <c r="C70" s="618"/>
      <c r="D70" s="618"/>
      <c r="E70" s="618"/>
      <c r="F70" s="618"/>
      <c r="G70" s="618"/>
      <c r="H70" s="618"/>
      <c r="I70" s="618"/>
      <c r="J70" s="618"/>
      <c r="K70" s="618"/>
    </row>
    <row r="71" spans="1:11" ht="28.5" customHeight="1">
      <c r="A71" s="618" t="s">
        <v>287</v>
      </c>
      <c r="B71" s="618"/>
      <c r="C71" s="618"/>
      <c r="D71" s="618"/>
      <c r="E71" s="618"/>
      <c r="F71" s="618"/>
      <c r="G71" s="618"/>
      <c r="H71" s="618"/>
      <c r="I71" s="618"/>
      <c r="J71" s="618"/>
      <c r="K71" s="618"/>
    </row>
    <row r="72" spans="1:11" ht="21" customHeight="1">
      <c r="A72" s="670" t="s">
        <v>288</v>
      </c>
      <c r="B72" s="671"/>
      <c r="C72" s="671"/>
      <c r="D72" s="671"/>
      <c r="E72" s="671"/>
      <c r="F72" s="672"/>
      <c r="G72" s="672"/>
      <c r="H72" s="673"/>
      <c r="I72" s="674"/>
      <c r="J72" s="675"/>
      <c r="K72" s="675"/>
    </row>
    <row r="73" spans="1:11" ht="25.5" customHeight="1">
      <c r="A73" s="676" t="s">
        <v>289</v>
      </c>
      <c r="B73" s="677"/>
      <c r="C73" s="677"/>
      <c r="D73" s="677"/>
      <c r="E73" s="677"/>
      <c r="F73" s="678">
        <f>'IT calculation'!E4</f>
        <v>813307.5</v>
      </c>
      <c r="G73" s="679"/>
      <c r="H73" s="673"/>
      <c r="I73" s="674"/>
      <c r="J73" s="675"/>
      <c r="K73" s="675"/>
    </row>
    <row r="74" spans="1:11" ht="28.5" customHeight="1">
      <c r="A74" s="676" t="s">
        <v>290</v>
      </c>
      <c r="B74" s="677"/>
      <c r="C74" s="677"/>
      <c r="D74" s="677"/>
      <c r="E74" s="677"/>
      <c r="F74" s="679">
        <f>'[2]I T cal.'!D5</f>
        <v>0</v>
      </c>
      <c r="G74" s="679"/>
      <c r="H74" s="673"/>
      <c r="I74" s="674"/>
      <c r="J74" s="675"/>
      <c r="K74" s="675"/>
    </row>
    <row r="75" spans="1:11" ht="27.75" customHeight="1">
      <c r="A75" s="680" t="s">
        <v>291</v>
      </c>
      <c r="B75" s="681"/>
      <c r="C75" s="681"/>
      <c r="D75" s="681"/>
      <c r="E75" s="681"/>
      <c r="F75" s="691">
        <v>0</v>
      </c>
      <c r="G75" s="691"/>
      <c r="H75" s="673"/>
      <c r="I75" s="674"/>
      <c r="J75" s="675"/>
      <c r="K75" s="675"/>
    </row>
    <row r="76" spans="1:11" ht="22.5" customHeight="1">
      <c r="A76" s="682" t="s">
        <v>292</v>
      </c>
      <c r="B76" s="683"/>
      <c r="C76" s="683"/>
      <c r="D76" s="683"/>
      <c r="E76" s="683"/>
      <c r="F76" s="692"/>
      <c r="G76" s="693"/>
      <c r="H76" s="688">
        <f>F73+F74+F75</f>
        <v>813307.5</v>
      </c>
      <c r="I76" s="698"/>
      <c r="J76" s="675"/>
      <c r="K76" s="675"/>
    </row>
    <row r="77" spans="1:11" ht="14.45" customHeight="1">
      <c r="A77" s="680" t="s">
        <v>293</v>
      </c>
      <c r="B77" s="681"/>
      <c r="C77" s="681"/>
      <c r="D77" s="681"/>
      <c r="E77" s="681"/>
      <c r="F77" s="694"/>
      <c r="G77" s="695"/>
      <c r="H77" s="699"/>
      <c r="I77" s="700"/>
      <c r="J77" s="675"/>
      <c r="K77" s="675"/>
    </row>
    <row r="78" spans="1:11" ht="21.75" customHeight="1">
      <c r="A78" s="636" t="s">
        <v>294</v>
      </c>
      <c r="B78" s="636"/>
      <c r="C78" s="636"/>
      <c r="D78" s="636" t="s">
        <v>277</v>
      </c>
      <c r="E78" s="636"/>
      <c r="F78" s="694"/>
      <c r="G78" s="695"/>
      <c r="H78" s="701"/>
      <c r="I78" s="702"/>
      <c r="J78" s="675"/>
      <c r="K78" s="675"/>
    </row>
    <row r="79" spans="1:11" ht="21.75" customHeight="1">
      <c r="A79" s="636" t="s">
        <v>295</v>
      </c>
      <c r="B79" s="636"/>
      <c r="C79" s="636"/>
      <c r="D79" s="173"/>
      <c r="E79" s="173"/>
      <c r="F79" s="696"/>
      <c r="G79" s="697"/>
      <c r="H79" s="701"/>
      <c r="I79" s="702"/>
      <c r="J79" s="675"/>
      <c r="K79" s="675"/>
    </row>
    <row r="80" spans="1:11" ht="23.25" customHeight="1">
      <c r="A80" s="657" t="str">
        <f>'[2]I T cal.'!C6</f>
        <v xml:space="preserve">US10 </v>
      </c>
      <c r="B80" s="657"/>
      <c r="C80" s="657"/>
      <c r="D80" s="173"/>
      <c r="E80" s="173"/>
      <c r="F80" s="679">
        <f>E79+E80</f>
        <v>0</v>
      </c>
      <c r="G80" s="679"/>
      <c r="H80" s="703"/>
      <c r="I80" s="704"/>
      <c r="J80" s="675"/>
      <c r="K80" s="675"/>
    </row>
    <row r="81" spans="1:11" ht="19.5" customHeight="1">
      <c r="A81" s="682" t="s">
        <v>296</v>
      </c>
      <c r="B81" s="683"/>
      <c r="C81" s="683"/>
      <c r="D81" s="683"/>
      <c r="E81" s="683"/>
      <c r="F81" s="684"/>
      <c r="G81" s="685"/>
      <c r="H81" s="688">
        <f>H76-F80</f>
        <v>813307.5</v>
      </c>
      <c r="I81" s="688"/>
      <c r="J81" s="675"/>
      <c r="K81" s="675"/>
    </row>
    <row r="82" spans="1:11" ht="16.5" customHeight="1">
      <c r="A82" s="676" t="s">
        <v>297</v>
      </c>
      <c r="B82" s="677"/>
      <c r="C82" s="677"/>
      <c r="D82" s="677"/>
      <c r="E82" s="677"/>
      <c r="F82" s="686"/>
      <c r="G82" s="687"/>
      <c r="H82" s="174"/>
      <c r="I82" s="175"/>
      <c r="J82" s="675"/>
      <c r="K82" s="675"/>
    </row>
    <row r="83" spans="1:11" ht="18" customHeight="1">
      <c r="A83" s="689" t="s">
        <v>298</v>
      </c>
      <c r="B83" s="690"/>
      <c r="C83" s="677" t="s">
        <v>299</v>
      </c>
      <c r="D83" s="677"/>
      <c r="E83" s="677"/>
      <c r="F83" s="691">
        <v>0</v>
      </c>
      <c r="G83" s="691"/>
      <c r="H83" s="174"/>
      <c r="I83" s="175"/>
      <c r="J83" s="675"/>
      <c r="K83" s="675"/>
    </row>
    <row r="84" spans="1:11" ht="17.25" customHeight="1">
      <c r="A84" s="689" t="s">
        <v>300</v>
      </c>
      <c r="B84" s="690"/>
      <c r="C84" s="677" t="s">
        <v>301</v>
      </c>
      <c r="D84" s="677"/>
      <c r="E84" s="677"/>
      <c r="F84" s="691">
        <v>0</v>
      </c>
      <c r="G84" s="691"/>
      <c r="H84" s="176"/>
      <c r="I84" s="177"/>
      <c r="J84" s="675"/>
      <c r="K84" s="675"/>
    </row>
    <row r="85" spans="1:11" ht="27.75" customHeight="1">
      <c r="A85" s="676" t="s">
        <v>302</v>
      </c>
      <c r="B85" s="677"/>
      <c r="C85" s="677"/>
      <c r="D85" s="677"/>
      <c r="E85" s="677"/>
      <c r="F85" s="705"/>
      <c r="G85" s="706"/>
      <c r="H85" s="711">
        <f>'IT calculation'!D6</f>
        <v>75000</v>
      </c>
      <c r="I85" s="711"/>
      <c r="J85" s="675"/>
      <c r="K85" s="675"/>
    </row>
    <row r="86" spans="1:11" ht="24.75" customHeight="1">
      <c r="A86" s="682" t="s">
        <v>303</v>
      </c>
      <c r="B86" s="683"/>
      <c r="C86" s="683"/>
      <c r="D86" s="683"/>
      <c r="E86" s="683"/>
      <c r="F86" s="707"/>
      <c r="G86" s="708"/>
      <c r="H86" s="712"/>
      <c r="I86" s="712"/>
      <c r="J86" s="724">
        <f>H81-H85</f>
        <v>738307.5</v>
      </c>
      <c r="K86" s="713"/>
    </row>
    <row r="87" spans="1:11" ht="14.45" customHeight="1">
      <c r="A87" s="682" t="s">
        <v>304</v>
      </c>
      <c r="B87" s="683"/>
      <c r="C87" s="683"/>
      <c r="D87" s="683"/>
      <c r="E87" s="683"/>
      <c r="F87" s="707"/>
      <c r="G87" s="708"/>
      <c r="H87" s="712"/>
      <c r="I87" s="712"/>
      <c r="J87" s="675"/>
      <c r="K87" s="675"/>
    </row>
    <row r="88" spans="1:11" ht="18" customHeight="1">
      <c r="A88" s="617" t="s">
        <v>174</v>
      </c>
      <c r="B88" s="617"/>
      <c r="C88" s="617"/>
      <c r="D88" s="617"/>
      <c r="E88" s="178" t="s">
        <v>277</v>
      </c>
      <c r="F88" s="707"/>
      <c r="G88" s="708"/>
      <c r="H88" s="712"/>
      <c r="I88" s="712"/>
      <c r="J88" s="675"/>
      <c r="K88" s="675"/>
    </row>
    <row r="89" spans="1:11" ht="17.25" customHeight="1">
      <c r="A89" s="636" t="s">
        <v>305</v>
      </c>
      <c r="B89" s="636"/>
      <c r="C89" s="636"/>
      <c r="D89" s="636"/>
      <c r="E89" s="178">
        <f>'IT calculation'!D10</f>
        <v>0</v>
      </c>
      <c r="F89" s="707"/>
      <c r="G89" s="708"/>
      <c r="H89" s="712"/>
      <c r="I89" s="712"/>
      <c r="J89" s="675"/>
      <c r="K89" s="675"/>
    </row>
    <row r="90" spans="1:11" ht="18.75" customHeight="1">
      <c r="A90" s="636" t="str">
        <f>CONCATENATE(IF('[2]I T cal.'!A12&gt;0,"NSC int,",""),IF('[2]I T cal.'!B12&gt;0," FDR int,",""),IF('[2]I T cal.'!C12&gt;0," Bonds,",""),IF('[2]I T cal.'!D12&gt;0," SB a/c int,",""),IF('[2]I T cal.'!E12&gt;0," Other income",""))</f>
        <v/>
      </c>
      <c r="B90" s="636"/>
      <c r="C90" s="636"/>
      <c r="D90" s="636"/>
      <c r="E90" s="178">
        <f>E89</f>
        <v>0</v>
      </c>
      <c r="F90" s="707"/>
      <c r="G90" s="708"/>
      <c r="H90" s="679">
        <f>E90</f>
        <v>0</v>
      </c>
      <c r="I90" s="679"/>
      <c r="J90" s="675"/>
      <c r="K90" s="675"/>
    </row>
    <row r="91" spans="1:11" ht="23.25" customHeight="1">
      <c r="A91" s="682" t="s">
        <v>306</v>
      </c>
      <c r="B91" s="683"/>
      <c r="C91" s="683"/>
      <c r="D91" s="683"/>
      <c r="E91" s="683"/>
      <c r="F91" s="707"/>
      <c r="G91" s="708"/>
      <c r="H91" s="673"/>
      <c r="I91" s="673"/>
      <c r="J91" s="713">
        <f>J86+H90</f>
        <v>738307.5</v>
      </c>
      <c r="K91" s="713"/>
    </row>
    <row r="92" spans="1:11" ht="21" customHeight="1">
      <c r="A92" s="682" t="s">
        <v>307</v>
      </c>
      <c r="B92" s="683"/>
      <c r="C92" s="683"/>
      <c r="D92" s="683"/>
      <c r="E92" s="683"/>
      <c r="F92" s="707"/>
      <c r="G92" s="708"/>
      <c r="H92" s="673"/>
      <c r="I92" s="673"/>
      <c r="J92" s="675"/>
      <c r="K92" s="675"/>
    </row>
    <row r="93" spans="1:11" ht="14.45" customHeight="1">
      <c r="A93" s="676" t="s">
        <v>308</v>
      </c>
      <c r="B93" s="677"/>
      <c r="C93" s="677"/>
      <c r="D93" s="677"/>
      <c r="E93" s="677"/>
      <c r="F93" s="709"/>
      <c r="G93" s="710"/>
      <c r="H93" s="673"/>
      <c r="I93" s="673"/>
      <c r="J93" s="675"/>
      <c r="K93" s="675"/>
    </row>
    <row r="94" spans="1:11" ht="18" customHeight="1">
      <c r="A94" s="717" t="s">
        <v>309</v>
      </c>
      <c r="B94" s="718"/>
      <c r="C94" s="718"/>
      <c r="D94" s="718"/>
      <c r="E94" s="718"/>
      <c r="F94" s="719"/>
      <c r="G94" s="719"/>
      <c r="H94" s="720" t="s">
        <v>310</v>
      </c>
      <c r="I94" s="721"/>
      <c r="J94" s="722" t="s">
        <v>311</v>
      </c>
      <c r="K94" s="723"/>
    </row>
    <row r="95" spans="1:11" s="181" customFormat="1" ht="16.5" customHeight="1">
      <c r="A95" s="737" t="s">
        <v>312</v>
      </c>
      <c r="B95" s="738"/>
      <c r="C95" s="738"/>
      <c r="D95" s="738"/>
      <c r="E95" s="738"/>
      <c r="F95" s="716">
        <f>'IT calculation'!C16</f>
        <v>0</v>
      </c>
      <c r="G95" s="716"/>
      <c r="H95" s="733"/>
      <c r="I95" s="734"/>
      <c r="J95" s="179"/>
      <c r="K95" s="180"/>
    </row>
    <row r="96" spans="1:11" s="181" customFormat="1" ht="16.5" customHeight="1">
      <c r="A96" s="714" t="s">
        <v>81</v>
      </c>
      <c r="B96" s="715"/>
      <c r="C96" s="715"/>
      <c r="D96" s="715"/>
      <c r="E96" s="715"/>
      <c r="F96" s="716">
        <f>'IT calculation'!C17</f>
        <v>0</v>
      </c>
      <c r="G96" s="716"/>
      <c r="H96" s="735"/>
      <c r="I96" s="736"/>
      <c r="J96" s="182"/>
      <c r="K96" s="183"/>
    </row>
    <row r="97" spans="1:11" s="181" customFormat="1" ht="15.75" customHeight="1">
      <c r="A97" s="714" t="s">
        <v>313</v>
      </c>
      <c r="B97" s="715"/>
      <c r="C97" s="715"/>
      <c r="D97" s="715"/>
      <c r="E97" s="715"/>
      <c r="F97" s="716">
        <f>'IT calculation'!C18+'IT calculation'!C20+'IT calculation'!C23</f>
        <v>0</v>
      </c>
      <c r="G97" s="716"/>
      <c r="H97" s="735"/>
      <c r="I97" s="736"/>
      <c r="J97" s="182"/>
      <c r="K97" s="183"/>
    </row>
    <row r="98" spans="1:11" s="181" customFormat="1" ht="15" customHeight="1">
      <c r="A98" s="714" t="s">
        <v>314</v>
      </c>
      <c r="B98" s="715"/>
      <c r="C98" s="715"/>
      <c r="D98" s="715"/>
      <c r="E98" s="715"/>
      <c r="F98" s="716">
        <f>'IT calculation'!C19</f>
        <v>0</v>
      </c>
      <c r="G98" s="716"/>
      <c r="H98" s="735"/>
      <c r="I98" s="736"/>
      <c r="J98" s="182"/>
      <c r="K98" s="183"/>
    </row>
    <row r="99" spans="1:11" s="181" customFormat="1" ht="18" customHeight="1">
      <c r="A99" s="714" t="s">
        <v>315</v>
      </c>
      <c r="B99" s="715"/>
      <c r="C99" s="715"/>
      <c r="D99" s="715"/>
      <c r="E99" s="715"/>
      <c r="F99" s="716">
        <f>'IT calculation'!C21</f>
        <v>0</v>
      </c>
      <c r="G99" s="716"/>
      <c r="H99" s="735"/>
      <c r="I99" s="736"/>
      <c r="J99" s="182"/>
      <c r="K99" s="183"/>
    </row>
    <row r="100" spans="1:11" s="181" customFormat="1" ht="12">
      <c r="A100" s="714" t="s">
        <v>7</v>
      </c>
      <c r="B100" s="715"/>
      <c r="C100" s="715"/>
      <c r="D100" s="715"/>
      <c r="E100" s="715"/>
      <c r="F100" s="716">
        <f>'IT calculation'!C22</f>
        <v>0</v>
      </c>
      <c r="G100" s="716"/>
      <c r="H100" s="735"/>
      <c r="I100" s="736"/>
      <c r="J100" s="182"/>
      <c r="K100" s="183"/>
    </row>
    <row r="101" spans="1:11" s="181" customFormat="1" ht="12">
      <c r="A101" s="714" t="s">
        <v>316</v>
      </c>
      <c r="B101" s="715"/>
      <c r="C101" s="715"/>
      <c r="D101" s="715"/>
      <c r="E101" s="715"/>
      <c r="F101" s="716">
        <f>'IT calculation'!C24</f>
        <v>0</v>
      </c>
      <c r="G101" s="716"/>
      <c r="H101" s="735"/>
      <c r="I101" s="736"/>
      <c r="J101" s="182"/>
      <c r="K101" s="183"/>
    </row>
    <row r="102" spans="1:11" s="181" customFormat="1" ht="12">
      <c r="A102" s="714" t="s">
        <v>317</v>
      </c>
      <c r="B102" s="715"/>
      <c r="C102" s="715"/>
      <c r="D102" s="715"/>
      <c r="E102" s="715"/>
      <c r="F102" s="716">
        <f>'IT calculation'!E17</f>
        <v>0</v>
      </c>
      <c r="G102" s="716"/>
      <c r="H102" s="735"/>
      <c r="I102" s="736"/>
      <c r="J102" s="182"/>
      <c r="K102" s="183"/>
    </row>
    <row r="103" spans="1:11" s="181" customFormat="1" ht="12">
      <c r="A103" s="714" t="s">
        <v>318</v>
      </c>
      <c r="B103" s="715"/>
      <c r="C103" s="715"/>
      <c r="D103" s="715"/>
      <c r="E103" s="715"/>
      <c r="F103" s="716">
        <f>'IT calculation'!E19</f>
        <v>0</v>
      </c>
      <c r="G103" s="716"/>
      <c r="H103" s="735"/>
      <c r="I103" s="736"/>
      <c r="J103" s="182"/>
      <c r="K103" s="183"/>
    </row>
    <row r="104" spans="1:11" s="181" customFormat="1" ht="15" customHeight="1">
      <c r="A104" s="714" t="s">
        <v>319</v>
      </c>
      <c r="B104" s="715"/>
      <c r="C104" s="715"/>
      <c r="D104" s="715"/>
      <c r="E104" s="715"/>
      <c r="F104" s="716">
        <v>0</v>
      </c>
      <c r="G104" s="716"/>
      <c r="H104" s="735"/>
      <c r="I104" s="736"/>
      <c r="J104" s="725" t="str">
        <f>IF([2]control!H4=TRUE,"US 80CCE (Max limit) +US 80CCD(2)","")</f>
        <v/>
      </c>
      <c r="K104" s="726"/>
    </row>
    <row r="105" spans="1:11" s="181" customFormat="1" ht="12" customHeight="1">
      <c r="A105" s="714" t="s">
        <v>320</v>
      </c>
      <c r="B105" s="715"/>
      <c r="C105" s="715"/>
      <c r="D105" s="715"/>
      <c r="E105" s="727"/>
      <c r="F105" s="716">
        <v>0</v>
      </c>
      <c r="G105" s="716"/>
      <c r="H105" s="735"/>
      <c r="I105" s="736"/>
      <c r="J105" s="725"/>
      <c r="K105" s="726"/>
    </row>
    <row r="106" spans="1:11" s="181" customFormat="1" ht="12">
      <c r="A106" s="728" t="s">
        <v>321</v>
      </c>
      <c r="B106" s="715"/>
      <c r="C106" s="715"/>
      <c r="D106" s="715"/>
      <c r="E106" s="727"/>
      <c r="F106" s="716">
        <f>'IT calculation'!E22</f>
        <v>0</v>
      </c>
      <c r="G106" s="716"/>
      <c r="H106" s="729"/>
      <c r="I106" s="730"/>
      <c r="J106" s="725"/>
      <c r="K106" s="726"/>
    </row>
    <row r="107" spans="1:11" s="181" customFormat="1" ht="12">
      <c r="A107" s="728" t="s">
        <v>322</v>
      </c>
      <c r="B107" s="715"/>
      <c r="C107" s="715"/>
      <c r="D107" s="715"/>
      <c r="E107" s="727"/>
      <c r="F107" s="716">
        <f>'IT calculation'!E23</f>
        <v>0</v>
      </c>
      <c r="G107" s="716"/>
      <c r="H107" s="729"/>
      <c r="I107" s="730"/>
      <c r="J107" s="725"/>
      <c r="K107" s="726"/>
    </row>
    <row r="108" spans="1:11">
      <c r="A108" s="682" t="s">
        <v>323</v>
      </c>
      <c r="B108" s="683"/>
      <c r="C108" s="683"/>
      <c r="D108" s="683"/>
      <c r="E108" s="683"/>
      <c r="F108" s="716">
        <f>'IT calculation'!E24</f>
        <v>0</v>
      </c>
      <c r="G108" s="716"/>
      <c r="H108" s="731"/>
      <c r="I108" s="732"/>
      <c r="J108" s="745" t="str">
        <f>CONCATENATE(IF([2]control!H4=TRUE,"(Rs.",""),IF([2]control!H4=TRUE,[2]salary!L25,""),IF([2]control!H4=TRUE,")",""))</f>
        <v/>
      </c>
      <c r="K108" s="746"/>
    </row>
    <row r="109" spans="1:11" ht="21.75" customHeight="1">
      <c r="A109" s="747" t="s">
        <v>324</v>
      </c>
      <c r="B109" s="748"/>
      <c r="C109" s="748"/>
      <c r="D109" s="748"/>
      <c r="E109" s="749"/>
      <c r="F109" s="750">
        <f>'IT calculation'!E16</f>
        <v>0</v>
      </c>
      <c r="G109" s="751"/>
      <c r="H109" s="716">
        <f>SUM(F95:F109)</f>
        <v>0</v>
      </c>
      <c r="I109" s="716"/>
      <c r="J109" s="711">
        <f>'IT calculation'!E26</f>
        <v>0</v>
      </c>
      <c r="K109" s="711"/>
    </row>
    <row r="110" spans="1:11" ht="27.75" customHeight="1">
      <c r="A110" s="752" t="s">
        <v>325</v>
      </c>
      <c r="B110" s="752"/>
      <c r="C110" s="752"/>
      <c r="D110" s="752"/>
      <c r="E110" s="752"/>
      <c r="F110" s="720" t="s">
        <v>310</v>
      </c>
      <c r="G110" s="721"/>
      <c r="H110" s="651" t="s">
        <v>326</v>
      </c>
      <c r="I110" s="651"/>
      <c r="J110" s="651" t="s">
        <v>311</v>
      </c>
      <c r="K110" s="651"/>
    </row>
    <row r="111" spans="1:11" ht="21.75" customHeight="1">
      <c r="A111" s="728" t="s">
        <v>327</v>
      </c>
      <c r="B111" s="715"/>
      <c r="C111" s="715"/>
      <c r="D111" s="715"/>
      <c r="E111" s="715"/>
      <c r="F111" s="679">
        <v>0</v>
      </c>
      <c r="G111" s="679"/>
      <c r="H111" s="679">
        <f>F111</f>
        <v>0</v>
      </c>
      <c r="I111" s="679"/>
      <c r="J111" s="739"/>
      <c r="K111" s="740"/>
    </row>
    <row r="112" spans="1:11" ht="21" customHeight="1">
      <c r="A112" s="728" t="s">
        <v>328</v>
      </c>
      <c r="B112" s="715"/>
      <c r="C112" s="715"/>
      <c r="D112" s="715"/>
      <c r="E112" s="715"/>
      <c r="F112" s="679">
        <f>'IT calculation'!E29</f>
        <v>0</v>
      </c>
      <c r="G112" s="679"/>
      <c r="H112" s="679">
        <f t="shared" ref="H112:H121" si="1">F112</f>
        <v>0</v>
      </c>
      <c r="I112" s="679"/>
      <c r="J112" s="741"/>
      <c r="K112" s="742"/>
    </row>
    <row r="113" spans="1:14" ht="20.25" customHeight="1">
      <c r="A113" s="728" t="s">
        <v>329</v>
      </c>
      <c r="B113" s="715"/>
      <c r="C113" s="715"/>
      <c r="D113" s="715"/>
      <c r="E113" s="715"/>
      <c r="F113" s="679">
        <f>'IT calculation'!E30</f>
        <v>0</v>
      </c>
      <c r="G113" s="679"/>
      <c r="H113" s="679">
        <f t="shared" si="1"/>
        <v>0</v>
      </c>
      <c r="I113" s="679"/>
      <c r="J113" s="741"/>
      <c r="K113" s="742"/>
    </row>
    <row r="114" spans="1:14" ht="18.75" customHeight="1">
      <c r="A114" s="728" t="s">
        <v>330</v>
      </c>
      <c r="B114" s="715"/>
      <c r="C114" s="715"/>
      <c r="D114" s="715"/>
      <c r="E114" s="715"/>
      <c r="F114" s="679">
        <f>'IT calculation'!E31</f>
        <v>0</v>
      </c>
      <c r="G114" s="679"/>
      <c r="H114" s="679">
        <f t="shared" si="1"/>
        <v>0</v>
      </c>
      <c r="I114" s="679"/>
      <c r="J114" s="741"/>
      <c r="K114" s="742"/>
    </row>
    <row r="115" spans="1:14" ht="21.75" customHeight="1">
      <c r="A115" s="728" t="s">
        <v>331</v>
      </c>
      <c r="B115" s="715"/>
      <c r="C115" s="715"/>
      <c r="D115" s="715"/>
      <c r="E115" s="715"/>
      <c r="F115" s="679">
        <f>'IT calculation'!E32</f>
        <v>0</v>
      </c>
      <c r="G115" s="679"/>
      <c r="H115" s="679">
        <f t="shared" si="1"/>
        <v>0</v>
      </c>
      <c r="I115" s="679"/>
      <c r="J115" s="741"/>
      <c r="K115" s="742"/>
    </row>
    <row r="116" spans="1:14" ht="21.75" customHeight="1">
      <c r="A116" s="728" t="s">
        <v>332</v>
      </c>
      <c r="B116" s="715"/>
      <c r="C116" s="715"/>
      <c r="D116" s="715"/>
      <c r="E116" s="715"/>
      <c r="F116" s="753">
        <f>'IT calculation'!E33</f>
        <v>0</v>
      </c>
      <c r="G116" s="753"/>
      <c r="H116" s="679">
        <f t="shared" si="1"/>
        <v>0</v>
      </c>
      <c r="I116" s="679"/>
      <c r="J116" s="741"/>
      <c r="K116" s="742"/>
    </row>
    <row r="117" spans="1:14" ht="21.75" customHeight="1">
      <c r="A117" s="728" t="s">
        <v>333</v>
      </c>
      <c r="B117" s="715"/>
      <c r="C117" s="715"/>
      <c r="D117" s="715"/>
      <c r="E117" s="715"/>
      <c r="F117" s="679">
        <f>'IT calculation'!E34</f>
        <v>0</v>
      </c>
      <c r="G117" s="679"/>
      <c r="H117" s="679">
        <f t="shared" si="1"/>
        <v>0</v>
      </c>
      <c r="I117" s="679"/>
      <c r="J117" s="741"/>
      <c r="K117" s="742"/>
    </row>
    <row r="118" spans="1:14" ht="18.75" customHeight="1">
      <c r="A118" s="728" t="s">
        <v>334</v>
      </c>
      <c r="B118" s="715"/>
      <c r="C118" s="715"/>
      <c r="D118" s="715"/>
      <c r="E118" s="715"/>
      <c r="F118" s="679">
        <f>'IT calculation'!E35</f>
        <v>0</v>
      </c>
      <c r="G118" s="679"/>
      <c r="H118" s="679">
        <f t="shared" si="1"/>
        <v>0</v>
      </c>
      <c r="I118" s="679"/>
      <c r="J118" s="741"/>
      <c r="K118" s="742"/>
    </row>
    <row r="119" spans="1:14" ht="22.5" customHeight="1">
      <c r="A119" s="728" t="s">
        <v>335</v>
      </c>
      <c r="B119" s="715"/>
      <c r="C119" s="715"/>
      <c r="D119" s="715"/>
      <c r="E119" s="715"/>
      <c r="F119" s="679">
        <f>'IT calculation'!E36</f>
        <v>0</v>
      </c>
      <c r="G119" s="679"/>
      <c r="H119" s="679">
        <f t="shared" si="1"/>
        <v>0</v>
      </c>
      <c r="I119" s="679"/>
      <c r="J119" s="741"/>
      <c r="K119" s="742"/>
    </row>
    <row r="120" spans="1:14" ht="21.75" customHeight="1">
      <c r="A120" s="728" t="s">
        <v>336</v>
      </c>
      <c r="B120" s="715"/>
      <c r="C120" s="715"/>
      <c r="D120" s="715"/>
      <c r="E120" s="727"/>
      <c r="F120" s="754">
        <f>'IT calculation'!E38</f>
        <v>0</v>
      </c>
      <c r="G120" s="755"/>
      <c r="H120" s="679">
        <f t="shared" si="1"/>
        <v>0</v>
      </c>
      <c r="I120" s="679"/>
      <c r="J120" s="743"/>
      <c r="K120" s="744"/>
    </row>
    <row r="121" spans="1:14" ht="20.25" customHeight="1">
      <c r="A121" s="728" t="s">
        <v>337</v>
      </c>
      <c r="B121" s="715"/>
      <c r="C121" s="715"/>
      <c r="D121" s="715"/>
      <c r="E121" s="727"/>
      <c r="F121" s="754">
        <f>'IT calculation'!E37</f>
        <v>0</v>
      </c>
      <c r="G121" s="755"/>
      <c r="H121" s="679">
        <f t="shared" si="1"/>
        <v>0</v>
      </c>
      <c r="I121" s="679"/>
      <c r="J121" s="750">
        <f>ROUND((H111+H112+H113+H114+H115+H116+H117+H118+H119+H120+H121),0)</f>
        <v>0</v>
      </c>
      <c r="K121" s="751"/>
    </row>
    <row r="122" spans="1:14" ht="27" customHeight="1">
      <c r="A122" s="756" t="s">
        <v>338</v>
      </c>
      <c r="B122" s="757"/>
      <c r="C122" s="757"/>
      <c r="D122" s="757"/>
      <c r="E122" s="758"/>
      <c r="F122" s="759"/>
      <c r="G122" s="759"/>
      <c r="H122" s="759"/>
      <c r="I122" s="759"/>
      <c r="J122" s="760">
        <f>ROUND((J109+J121),0)</f>
        <v>0</v>
      </c>
      <c r="K122" s="761"/>
      <c r="L122" s="184"/>
      <c r="M122" s="184"/>
      <c r="N122" s="184"/>
    </row>
    <row r="123" spans="1:14" ht="26.25" customHeight="1">
      <c r="A123" s="767" t="s">
        <v>339</v>
      </c>
      <c r="B123" s="683"/>
      <c r="C123" s="683"/>
      <c r="D123" s="683"/>
      <c r="E123" s="768"/>
      <c r="F123" s="769"/>
      <c r="G123" s="770"/>
      <c r="H123" s="769"/>
      <c r="I123" s="770"/>
      <c r="J123" s="760">
        <f>ROUND((J91-J122),-1)</f>
        <v>738310</v>
      </c>
      <c r="K123" s="761"/>
    </row>
    <row r="124" spans="1:14" ht="15.75" hidden="1" customHeight="1">
      <c r="A124" s="762" t="s">
        <v>340</v>
      </c>
      <c r="B124" s="763"/>
      <c r="C124" s="763"/>
      <c r="D124" s="763"/>
      <c r="E124" s="763"/>
      <c r="F124" s="185"/>
      <c r="G124" s="186"/>
      <c r="H124" s="185"/>
      <c r="I124" s="186"/>
      <c r="J124" s="765">
        <f>ROUND(IF(J123&lt;=250000,0,IF(J123&lt;=500000,(J123-250000)*0.05,IF(J123&lt;=1000000,12500+(J123-500000)*0.2,IF(J123&gt;1000000,112500+(J123-1000000)*0.3,"0")))),0)</f>
        <v>60162</v>
      </c>
      <c r="K124" s="766"/>
    </row>
    <row r="125" spans="1:14" ht="15.75" hidden="1" customHeight="1">
      <c r="A125" s="762" t="s">
        <v>341</v>
      </c>
      <c r="B125" s="763"/>
      <c r="C125" s="763"/>
      <c r="D125" s="763"/>
      <c r="E125" s="764"/>
      <c r="F125" s="185"/>
      <c r="G125" s="186"/>
      <c r="H125" s="185"/>
      <c r="I125" s="186"/>
      <c r="J125" s="765">
        <f>IF(AND(J123&lt;=350000,J124&gt;=2500),J124-2500,IF(AND(J123&lt;=350000,J124&lt;2500),0,J124))</f>
        <v>60162</v>
      </c>
      <c r="K125" s="766"/>
    </row>
    <row r="126" spans="1:14" ht="26.25" customHeight="1">
      <c r="A126" s="767" t="s">
        <v>342</v>
      </c>
      <c r="B126" s="683"/>
      <c r="C126" s="683"/>
      <c r="D126" s="683"/>
      <c r="E126" s="768"/>
      <c r="F126" s="769"/>
      <c r="G126" s="770"/>
      <c r="H126" s="769"/>
      <c r="I126" s="770"/>
      <c r="J126" s="698">
        <f>'IT calculation'!E46</f>
        <v>23831</v>
      </c>
      <c r="K126" s="761"/>
    </row>
    <row r="127" spans="1:14" ht="26.25" customHeight="1">
      <c r="A127" s="774" t="s">
        <v>343</v>
      </c>
      <c r="B127" s="677"/>
      <c r="C127" s="677"/>
      <c r="D127" s="677"/>
      <c r="E127" s="775"/>
      <c r="F127" s="769"/>
      <c r="G127" s="770"/>
      <c r="H127" s="769"/>
      <c r="I127" s="770"/>
      <c r="J127" s="760">
        <f>'IT calculation'!D48</f>
        <v>953</v>
      </c>
      <c r="K127" s="761"/>
    </row>
    <row r="128" spans="1:14" ht="24" customHeight="1">
      <c r="A128" s="767" t="s">
        <v>344</v>
      </c>
      <c r="B128" s="683"/>
      <c r="C128" s="683"/>
      <c r="D128" s="683"/>
      <c r="E128" s="768"/>
      <c r="F128" s="769"/>
      <c r="G128" s="770"/>
      <c r="H128" s="769"/>
      <c r="I128" s="770"/>
      <c r="J128" s="760">
        <f>J126+J127</f>
        <v>24784</v>
      </c>
      <c r="K128" s="761"/>
    </row>
    <row r="129" spans="1:11" ht="24.75" customHeight="1">
      <c r="A129" s="774" t="s">
        <v>345</v>
      </c>
      <c r="B129" s="677"/>
      <c r="C129" s="677"/>
      <c r="D129" s="677"/>
      <c r="E129" s="775"/>
      <c r="F129" s="769"/>
      <c r="G129" s="770"/>
      <c r="H129" s="769"/>
      <c r="I129" s="770"/>
      <c r="J129" s="760">
        <f>'IT calculation'!E50</f>
        <v>0</v>
      </c>
      <c r="K129" s="761"/>
    </row>
    <row r="130" spans="1:11" ht="27" customHeight="1">
      <c r="A130" s="771" t="s">
        <v>346</v>
      </c>
      <c r="B130" s="771"/>
      <c r="C130" s="771"/>
      <c r="D130" s="771"/>
      <c r="E130" s="771"/>
      <c r="F130" s="772"/>
      <c r="G130" s="773"/>
      <c r="H130" s="772"/>
      <c r="I130" s="773"/>
      <c r="J130" s="760">
        <f>J128-J129</f>
        <v>24784</v>
      </c>
      <c r="K130" s="761"/>
    </row>
    <row r="131" spans="1:11" ht="21" customHeight="1">
      <c r="A131" s="663" t="s">
        <v>271</v>
      </c>
      <c r="B131" s="663"/>
      <c r="C131" s="663"/>
      <c r="D131" s="663"/>
      <c r="E131" s="663"/>
      <c r="F131" s="663"/>
      <c r="G131" s="663"/>
      <c r="H131" s="663"/>
      <c r="I131" s="663"/>
      <c r="J131" s="663"/>
      <c r="K131" s="663"/>
    </row>
    <row r="132" spans="1:11" ht="22.5" customHeight="1">
      <c r="A132" s="265" t="s">
        <v>272</v>
      </c>
      <c r="B132" s="664">
        <f>Profile!I6</f>
        <v>0</v>
      </c>
      <c r="C132" s="664"/>
      <c r="D132" s="664"/>
      <c r="E132" s="266" t="s">
        <v>273</v>
      </c>
      <c r="F132" s="664">
        <f>Profile!I7</f>
        <v>0</v>
      </c>
      <c r="G132" s="664"/>
      <c r="H132" s="664"/>
      <c r="I132" s="664"/>
      <c r="J132" s="664" t="s">
        <v>274</v>
      </c>
      <c r="K132" s="664"/>
    </row>
    <row r="133" spans="1:11" ht="21.75" customHeight="1">
      <c r="A133" s="664" t="s">
        <v>275</v>
      </c>
      <c r="B133" s="664"/>
      <c r="C133" s="664" t="str">
        <f>Profile!G8</f>
        <v>PRINCIPAL</v>
      </c>
      <c r="D133" s="664"/>
      <c r="E133" s="664"/>
      <c r="F133" s="664" t="s">
        <v>347</v>
      </c>
      <c r="G133" s="664"/>
      <c r="H133" s="664"/>
      <c r="I133" s="664"/>
      <c r="J133" s="664"/>
      <c r="K133" s="664"/>
    </row>
    <row r="134" spans="1:11" ht="24" customHeight="1">
      <c r="A134" s="668" t="s">
        <v>348</v>
      </c>
      <c r="B134" s="668"/>
      <c r="C134" s="668"/>
      <c r="D134" s="668"/>
      <c r="E134" s="668"/>
      <c r="F134" s="668"/>
      <c r="G134" s="668"/>
      <c r="H134" s="668"/>
      <c r="I134" s="668"/>
      <c r="J134" s="668"/>
      <c r="K134" s="668"/>
    </row>
    <row r="135" spans="1:11" ht="21" customHeight="1">
      <c r="A135" s="668" t="s">
        <v>349</v>
      </c>
      <c r="B135" s="668"/>
      <c r="C135" s="668"/>
      <c r="D135" s="668"/>
      <c r="E135" s="668"/>
      <c r="F135" s="668"/>
      <c r="G135" s="668"/>
      <c r="H135" s="668"/>
      <c r="I135" s="668"/>
      <c r="J135" s="668"/>
      <c r="K135" s="668"/>
    </row>
    <row r="136" spans="1:11" ht="19.5" customHeight="1">
      <c r="A136" s="617" t="s">
        <v>281</v>
      </c>
      <c r="B136" s="617"/>
      <c r="C136" s="669"/>
      <c r="D136" s="669"/>
      <c r="E136" s="617"/>
      <c r="F136" s="617"/>
      <c r="G136" s="617"/>
      <c r="H136" s="617"/>
      <c r="I136" s="617"/>
      <c r="J136" s="617"/>
      <c r="K136" s="617"/>
    </row>
    <row r="137" spans="1:11" ht="21" customHeight="1">
      <c r="A137" s="617" t="s">
        <v>282</v>
      </c>
      <c r="B137" s="617"/>
      <c r="C137" s="777"/>
      <c r="D137" s="777"/>
      <c r="E137" s="617" t="s">
        <v>283</v>
      </c>
      <c r="F137" s="617"/>
      <c r="G137" s="617"/>
      <c r="H137" s="617"/>
      <c r="I137" s="617"/>
      <c r="J137" s="617"/>
      <c r="K137" s="617"/>
    </row>
    <row r="138" spans="1:11" ht="23.25" customHeight="1">
      <c r="A138" s="665" t="s">
        <v>284</v>
      </c>
      <c r="B138" s="665"/>
      <c r="C138" s="666" t="str">
        <f>Profile!G8</f>
        <v>PRINCIPAL</v>
      </c>
      <c r="D138" s="666"/>
      <c r="E138" s="264" t="s">
        <v>285</v>
      </c>
      <c r="F138" s="665">
        <f>Profile!I6</f>
        <v>0</v>
      </c>
      <c r="G138" s="665"/>
      <c r="H138" s="665"/>
      <c r="I138" s="665"/>
      <c r="J138" s="665"/>
      <c r="K138" s="665"/>
    </row>
    <row r="139" spans="1:11" ht="21" customHeight="1">
      <c r="A139" s="187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</row>
    <row r="140" spans="1:11">
      <c r="A140" s="776" t="s">
        <v>455</v>
      </c>
      <c r="B140" s="776"/>
      <c r="C140" s="776"/>
      <c r="D140" s="776"/>
      <c r="E140" s="776"/>
      <c r="F140" s="188"/>
      <c r="G140" s="188"/>
      <c r="H140" s="188"/>
      <c r="I140" s="188"/>
      <c r="J140" s="188"/>
      <c r="K140" s="188"/>
    </row>
    <row r="141" spans="1:11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</row>
    <row r="142" spans="1:11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</row>
    <row r="143" spans="1:11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</row>
    <row r="144" spans="1:1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</row>
    <row r="145" spans="1:11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</row>
    <row r="146" spans="1:11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</row>
    <row r="147" spans="1:11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</row>
    <row r="148" spans="1:11" s="171" customFormat="1" ht="12">
      <c r="A148" s="187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/>
    </row>
    <row r="149" spans="1:11" s="171" customFormat="1" ht="14.25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</row>
    <row r="150" spans="1:11" s="171" customFormat="1" ht="12">
      <c r="A150" s="187"/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</row>
    <row r="151" spans="1:11">
      <c r="A151" s="187"/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</row>
    <row r="152" spans="1:11" ht="22.5" customHeight="1">
      <c r="A152" s="187"/>
      <c r="B152" s="187"/>
      <c r="C152" s="187"/>
      <c r="D152" s="191"/>
      <c r="E152" s="191"/>
      <c r="F152" s="192"/>
      <c r="G152" s="192"/>
      <c r="H152" s="192"/>
      <c r="I152" s="192"/>
      <c r="J152" s="192"/>
      <c r="K152" s="192"/>
    </row>
    <row r="153" spans="1:11">
      <c r="A153" s="181"/>
      <c r="B153" s="193"/>
      <c r="C153" s="193"/>
      <c r="D153" s="194"/>
      <c r="E153" s="194"/>
      <c r="F153" s="194"/>
      <c r="G153" s="194"/>
      <c r="H153" s="194"/>
      <c r="I153" s="195"/>
      <c r="J153" s="195"/>
      <c r="K153" s="195"/>
    </row>
    <row r="154" spans="1:11">
      <c r="A154" s="776"/>
      <c r="B154" s="776"/>
      <c r="C154" s="776"/>
      <c r="D154" s="776"/>
      <c r="E154" s="776"/>
      <c r="F154" s="194"/>
      <c r="G154" s="194"/>
      <c r="H154" s="194"/>
      <c r="I154" s="195"/>
      <c r="J154" s="195"/>
      <c r="K154" s="195"/>
    </row>
    <row r="155" spans="1:11">
      <c r="A155" s="181"/>
      <c r="B155" s="193"/>
      <c r="C155" s="193"/>
      <c r="D155" s="194"/>
      <c r="E155" s="194"/>
      <c r="F155" s="194"/>
      <c r="G155" s="194"/>
      <c r="H155" s="194"/>
      <c r="I155" s="195"/>
      <c r="J155" s="195"/>
      <c r="K155" s="195"/>
    </row>
    <row r="156" spans="1:11">
      <c r="A156" s="181"/>
      <c r="B156" s="193"/>
      <c r="C156" s="193"/>
      <c r="D156" s="194"/>
      <c r="E156" s="194"/>
      <c r="F156" s="194"/>
      <c r="G156" s="194"/>
      <c r="H156" s="194"/>
      <c r="I156" s="195"/>
      <c r="J156" s="195"/>
      <c r="K156" s="195"/>
    </row>
    <row r="157" spans="1:11">
      <c r="A157" s="196"/>
      <c r="B157" s="196"/>
      <c r="C157" s="196"/>
      <c r="D157" s="196"/>
      <c r="E157" s="3"/>
      <c r="F157" s="3"/>
      <c r="G157" s="3"/>
      <c r="H157" s="3"/>
      <c r="I157" s="3"/>
      <c r="J157" s="3"/>
      <c r="K157" s="3"/>
    </row>
    <row r="158" spans="1:11">
      <c r="A158" s="189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</row>
    <row r="159" spans="1:1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</row>
    <row r="160" spans="1:11">
      <c r="A160" s="189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</row>
    <row r="161" spans="1:11">
      <c r="A161" s="189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</row>
    <row r="162" spans="1:11">
      <c r="A162" s="189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</row>
    <row r="163" spans="1:11">
      <c r="A163" s="189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</row>
    <row r="164" spans="1:11">
      <c r="A164" s="189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</row>
    <row r="165" spans="1:11">
      <c r="A165" s="189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</row>
    <row r="166" spans="1:11">
      <c r="A166" s="189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</row>
    <row r="167" spans="1:11">
      <c r="A167" s="189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</row>
    <row r="168" spans="1:11">
      <c r="A168" s="189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</row>
  </sheetData>
  <sheetProtection algorithmName="SHA-512" hashValue="ihIu9iN7Uq4SQLnYL8l+RM2fDjun+/lFhoT/BJsdaB1VFpgDvWe70NuDzi8R5f2DSIfL6v9IhbvnEF1F7Ivx1w==" saltValue="1/XU5P2khnyv/H/vgNEw6Q==" spinCount="100000" sheet="1" objects="1" scenarios="1"/>
  <mergeCells count="397">
    <mergeCell ref="A154:E154"/>
    <mergeCell ref="A138:B138"/>
    <mergeCell ref="C138:D138"/>
    <mergeCell ref="F138:K138"/>
    <mergeCell ref="A140:E140"/>
    <mergeCell ref="C68:D68"/>
    <mergeCell ref="C137:D137"/>
    <mergeCell ref="A134:K134"/>
    <mergeCell ref="A135:K135"/>
    <mergeCell ref="A136:B136"/>
    <mergeCell ref="C136:D136"/>
    <mergeCell ref="E136:K136"/>
    <mergeCell ref="A137:B137"/>
    <mergeCell ref="E137:K137"/>
    <mergeCell ref="A131:K131"/>
    <mergeCell ref="B132:D132"/>
    <mergeCell ref="F132:I132"/>
    <mergeCell ref="J132:K132"/>
    <mergeCell ref="A133:B133"/>
    <mergeCell ref="C133:E133"/>
    <mergeCell ref="F133:K133"/>
    <mergeCell ref="A129:E129"/>
    <mergeCell ref="F129:G129"/>
    <mergeCell ref="H129:I129"/>
    <mergeCell ref="J129:K129"/>
    <mergeCell ref="A130:E130"/>
    <mergeCell ref="F130:G130"/>
    <mergeCell ref="H130:I130"/>
    <mergeCell ref="J130:K130"/>
    <mergeCell ref="A127:E127"/>
    <mergeCell ref="F127:G127"/>
    <mergeCell ref="H127:I127"/>
    <mergeCell ref="J127:K127"/>
    <mergeCell ref="A128:E128"/>
    <mergeCell ref="F128:G128"/>
    <mergeCell ref="H128:I128"/>
    <mergeCell ref="J128:K128"/>
    <mergeCell ref="A125:E125"/>
    <mergeCell ref="J125:K125"/>
    <mergeCell ref="A126:E126"/>
    <mergeCell ref="F126:G126"/>
    <mergeCell ref="H126:I126"/>
    <mergeCell ref="J126:K126"/>
    <mergeCell ref="A123:E123"/>
    <mergeCell ref="F123:G123"/>
    <mergeCell ref="H123:I123"/>
    <mergeCell ref="J123:K123"/>
    <mergeCell ref="A124:E124"/>
    <mergeCell ref="J124:K124"/>
    <mergeCell ref="A121:E121"/>
    <mergeCell ref="F121:G121"/>
    <mergeCell ref="H121:I121"/>
    <mergeCell ref="J121:K121"/>
    <mergeCell ref="A122:E122"/>
    <mergeCell ref="F122:G122"/>
    <mergeCell ref="H122:I122"/>
    <mergeCell ref="J122:K122"/>
    <mergeCell ref="A119:E119"/>
    <mergeCell ref="F119:G119"/>
    <mergeCell ref="H119:I119"/>
    <mergeCell ref="A120:E120"/>
    <mergeCell ref="F120:G120"/>
    <mergeCell ref="H120:I120"/>
    <mergeCell ref="F110:G110"/>
    <mergeCell ref="H110:I110"/>
    <mergeCell ref="A117:E117"/>
    <mergeCell ref="F117:G117"/>
    <mergeCell ref="H117:I117"/>
    <mergeCell ref="A118:E118"/>
    <mergeCell ref="F118:G118"/>
    <mergeCell ref="H118:I118"/>
    <mergeCell ref="A115:E115"/>
    <mergeCell ref="F115:G115"/>
    <mergeCell ref="H115:I115"/>
    <mergeCell ref="A116:E116"/>
    <mergeCell ref="F116:G116"/>
    <mergeCell ref="H116:I116"/>
    <mergeCell ref="J110:K110"/>
    <mergeCell ref="A111:E111"/>
    <mergeCell ref="F111:G111"/>
    <mergeCell ref="H111:I111"/>
    <mergeCell ref="J111:K120"/>
    <mergeCell ref="A112:E112"/>
    <mergeCell ref="F112:G112"/>
    <mergeCell ref="A107:E107"/>
    <mergeCell ref="F107:G107"/>
    <mergeCell ref="A108:E108"/>
    <mergeCell ref="F108:G108"/>
    <mergeCell ref="J108:K108"/>
    <mergeCell ref="A109:E109"/>
    <mergeCell ref="F109:G109"/>
    <mergeCell ref="H109:I109"/>
    <mergeCell ref="J109:K109"/>
    <mergeCell ref="H112:I112"/>
    <mergeCell ref="A113:E113"/>
    <mergeCell ref="F113:G113"/>
    <mergeCell ref="H113:I113"/>
    <mergeCell ref="A114:E114"/>
    <mergeCell ref="F114:G114"/>
    <mergeCell ref="H114:I114"/>
    <mergeCell ref="A110:E110"/>
    <mergeCell ref="A103:E103"/>
    <mergeCell ref="F103:G103"/>
    <mergeCell ref="A104:E104"/>
    <mergeCell ref="F104:G104"/>
    <mergeCell ref="J104:K107"/>
    <mergeCell ref="A105:E105"/>
    <mergeCell ref="F105:G105"/>
    <mergeCell ref="A106:E106"/>
    <mergeCell ref="F106:G106"/>
    <mergeCell ref="H106:I108"/>
    <mergeCell ref="H95:I105"/>
    <mergeCell ref="F99:G99"/>
    <mergeCell ref="A100:E100"/>
    <mergeCell ref="F100:G100"/>
    <mergeCell ref="A101:E101"/>
    <mergeCell ref="F101:G101"/>
    <mergeCell ref="A102:E102"/>
    <mergeCell ref="F102:G102"/>
    <mergeCell ref="A95:E95"/>
    <mergeCell ref="F95:G95"/>
    <mergeCell ref="A96:E96"/>
    <mergeCell ref="F96:G96"/>
    <mergeCell ref="A97:E97"/>
    <mergeCell ref="F97:G97"/>
    <mergeCell ref="A98:E98"/>
    <mergeCell ref="F98:G98"/>
    <mergeCell ref="A99:E99"/>
    <mergeCell ref="A94:E94"/>
    <mergeCell ref="F94:G94"/>
    <mergeCell ref="H94:I94"/>
    <mergeCell ref="J94:K94"/>
    <mergeCell ref="J86:K86"/>
    <mergeCell ref="A87:E87"/>
    <mergeCell ref="J87:K90"/>
    <mergeCell ref="A88:D88"/>
    <mergeCell ref="A89:D89"/>
    <mergeCell ref="A90:D90"/>
    <mergeCell ref="H90:I90"/>
    <mergeCell ref="H85:I85"/>
    <mergeCell ref="A86:E86"/>
    <mergeCell ref="H86:I89"/>
    <mergeCell ref="A91:E91"/>
    <mergeCell ref="H91:I93"/>
    <mergeCell ref="J91:K91"/>
    <mergeCell ref="A92:E92"/>
    <mergeCell ref="J92:K93"/>
    <mergeCell ref="A93:E93"/>
    <mergeCell ref="A78:C78"/>
    <mergeCell ref="D78:E78"/>
    <mergeCell ref="A79:C79"/>
    <mergeCell ref="A80:C80"/>
    <mergeCell ref="A84:B84"/>
    <mergeCell ref="C84:E84"/>
    <mergeCell ref="F84:G84"/>
    <mergeCell ref="A85:E85"/>
    <mergeCell ref="F85:G93"/>
    <mergeCell ref="A71:K71"/>
    <mergeCell ref="A72:E72"/>
    <mergeCell ref="F72:G72"/>
    <mergeCell ref="H72:I75"/>
    <mergeCell ref="J72:K85"/>
    <mergeCell ref="A73:E73"/>
    <mergeCell ref="F73:G73"/>
    <mergeCell ref="A74:E74"/>
    <mergeCell ref="F74:G74"/>
    <mergeCell ref="A75:E75"/>
    <mergeCell ref="F80:G80"/>
    <mergeCell ref="A81:E81"/>
    <mergeCell ref="F81:G82"/>
    <mergeCell ref="H81:I81"/>
    <mergeCell ref="A82:E82"/>
    <mergeCell ref="A83:B83"/>
    <mergeCell ref="C83:E83"/>
    <mergeCell ref="F83:G83"/>
    <mergeCell ref="F75:G75"/>
    <mergeCell ref="A76:E76"/>
    <mergeCell ref="F76:G79"/>
    <mergeCell ref="H76:I76"/>
    <mergeCell ref="A77:E77"/>
    <mergeCell ref="H77:I80"/>
    <mergeCell ref="A68:B68"/>
    <mergeCell ref="E68:K68"/>
    <mergeCell ref="A69:B69"/>
    <mergeCell ref="C69:D69"/>
    <mergeCell ref="F69:K69"/>
    <mergeCell ref="A70:K70"/>
    <mergeCell ref="C64:G64"/>
    <mergeCell ref="H64:K64"/>
    <mergeCell ref="A65:K65"/>
    <mergeCell ref="A66:K66"/>
    <mergeCell ref="A67:B67"/>
    <mergeCell ref="C67:D67"/>
    <mergeCell ref="E67:K67"/>
    <mergeCell ref="A61:K61"/>
    <mergeCell ref="B62:D62"/>
    <mergeCell ref="F62:I62"/>
    <mergeCell ref="J62:K62"/>
    <mergeCell ref="A63:B63"/>
    <mergeCell ref="C63:E63"/>
    <mergeCell ref="F63:K63"/>
    <mergeCell ref="B59:C59"/>
    <mergeCell ref="D59:E59"/>
    <mergeCell ref="F59:G59"/>
    <mergeCell ref="H59:I59"/>
    <mergeCell ref="J59:K59"/>
    <mergeCell ref="B60:C60"/>
    <mergeCell ref="D60:K60"/>
    <mergeCell ref="B57:C57"/>
    <mergeCell ref="D57:E57"/>
    <mergeCell ref="F57:G57"/>
    <mergeCell ref="H57:I57"/>
    <mergeCell ref="J57:K57"/>
    <mergeCell ref="B58:C58"/>
    <mergeCell ref="D58:E58"/>
    <mergeCell ref="F58:G58"/>
    <mergeCell ref="H58:I58"/>
    <mergeCell ref="J58:K58"/>
    <mergeCell ref="B55:C55"/>
    <mergeCell ref="D55:E55"/>
    <mergeCell ref="F55:G55"/>
    <mergeCell ref="H55:I55"/>
    <mergeCell ref="J55:K55"/>
    <mergeCell ref="B56:C56"/>
    <mergeCell ref="D56:E56"/>
    <mergeCell ref="F56:G56"/>
    <mergeCell ref="H56:I56"/>
    <mergeCell ref="J56:K56"/>
    <mergeCell ref="B53:C53"/>
    <mergeCell ref="D53:E53"/>
    <mergeCell ref="F53:G53"/>
    <mergeCell ref="H53:I53"/>
    <mergeCell ref="J53:K53"/>
    <mergeCell ref="B54:C54"/>
    <mergeCell ref="D54:E54"/>
    <mergeCell ref="F54:G54"/>
    <mergeCell ref="H54:I54"/>
    <mergeCell ref="J54:K54"/>
    <mergeCell ref="B51:C51"/>
    <mergeCell ref="D51:E51"/>
    <mergeCell ref="F51:G51"/>
    <mergeCell ref="H51:I51"/>
    <mergeCell ref="J51:K51"/>
    <mergeCell ref="B52:C52"/>
    <mergeCell ref="D52:E52"/>
    <mergeCell ref="F52:G52"/>
    <mergeCell ref="H52:I52"/>
    <mergeCell ref="J52:K52"/>
    <mergeCell ref="B49:C49"/>
    <mergeCell ref="D49:E49"/>
    <mergeCell ref="F49:G49"/>
    <mergeCell ref="H49:I49"/>
    <mergeCell ref="J49:K49"/>
    <mergeCell ref="B50:C50"/>
    <mergeCell ref="D50:E50"/>
    <mergeCell ref="F50:G50"/>
    <mergeCell ref="H50:I50"/>
    <mergeCell ref="J50:K50"/>
    <mergeCell ref="B47:C47"/>
    <mergeCell ref="D47:E47"/>
    <mergeCell ref="F47:G47"/>
    <mergeCell ref="H47:I47"/>
    <mergeCell ref="J47:K47"/>
    <mergeCell ref="B48:C48"/>
    <mergeCell ref="D48:E48"/>
    <mergeCell ref="F48:G48"/>
    <mergeCell ref="H48:I48"/>
    <mergeCell ref="J48:K48"/>
    <mergeCell ref="B45:C45"/>
    <mergeCell ref="D45:E45"/>
    <mergeCell ref="F45:G45"/>
    <mergeCell ref="H45:I45"/>
    <mergeCell ref="J45:K45"/>
    <mergeCell ref="B46:C46"/>
    <mergeCell ref="D46:E46"/>
    <mergeCell ref="F46:G46"/>
    <mergeCell ref="H46:I46"/>
    <mergeCell ref="J46:K46"/>
    <mergeCell ref="A42:K42"/>
    <mergeCell ref="A43:A44"/>
    <mergeCell ref="B43:C44"/>
    <mergeCell ref="D43:K43"/>
    <mergeCell ref="D44:E44"/>
    <mergeCell ref="F44:G44"/>
    <mergeCell ref="H44:I44"/>
    <mergeCell ref="J44:K44"/>
    <mergeCell ref="B39:C39"/>
    <mergeCell ref="F39:H39"/>
    <mergeCell ref="I39:K39"/>
    <mergeCell ref="B40:C40"/>
    <mergeCell ref="D40:K40"/>
    <mergeCell ref="A41:K41"/>
    <mergeCell ref="B37:C37"/>
    <mergeCell ref="F37:H37"/>
    <mergeCell ref="I37:K37"/>
    <mergeCell ref="B38:C38"/>
    <mergeCell ref="F38:H38"/>
    <mergeCell ref="I38:K38"/>
    <mergeCell ref="B35:C35"/>
    <mergeCell ref="F35:H35"/>
    <mergeCell ref="I35:K35"/>
    <mergeCell ref="B36:C36"/>
    <mergeCell ref="F36:H36"/>
    <mergeCell ref="I36:K36"/>
    <mergeCell ref="B33:C33"/>
    <mergeCell ref="F33:H33"/>
    <mergeCell ref="I33:K33"/>
    <mergeCell ref="B34:C34"/>
    <mergeCell ref="F34:H34"/>
    <mergeCell ref="I34:K34"/>
    <mergeCell ref="B31:C31"/>
    <mergeCell ref="F31:H31"/>
    <mergeCell ref="I31:K31"/>
    <mergeCell ref="B32:C32"/>
    <mergeCell ref="F32:H32"/>
    <mergeCell ref="I32:K32"/>
    <mergeCell ref="B29:C29"/>
    <mergeCell ref="F29:H29"/>
    <mergeCell ref="I29:K29"/>
    <mergeCell ref="B30:C30"/>
    <mergeCell ref="F30:H30"/>
    <mergeCell ref="I30:K30"/>
    <mergeCell ref="B27:C27"/>
    <mergeCell ref="F27:H27"/>
    <mergeCell ref="I27:K27"/>
    <mergeCell ref="B28:C28"/>
    <mergeCell ref="F28:H28"/>
    <mergeCell ref="I28:K28"/>
    <mergeCell ref="B25:C25"/>
    <mergeCell ref="F25:H25"/>
    <mergeCell ref="I25:K25"/>
    <mergeCell ref="B26:C26"/>
    <mergeCell ref="F26:H26"/>
    <mergeCell ref="I26:K26"/>
    <mergeCell ref="A21:K21"/>
    <mergeCell ref="A22:K22"/>
    <mergeCell ref="A23:A24"/>
    <mergeCell ref="B23:C24"/>
    <mergeCell ref="D23:K23"/>
    <mergeCell ref="F24:H24"/>
    <mergeCell ref="I24:K24"/>
    <mergeCell ref="B19:D19"/>
    <mergeCell ref="F19:H19"/>
    <mergeCell ref="I19:K19"/>
    <mergeCell ref="A20:D20"/>
    <mergeCell ref="F20:H20"/>
    <mergeCell ref="I20:K20"/>
    <mergeCell ref="S16:T17"/>
    <mergeCell ref="B17:D17"/>
    <mergeCell ref="F17:H17"/>
    <mergeCell ref="I17:K17"/>
    <mergeCell ref="B18:D18"/>
    <mergeCell ref="F18:H18"/>
    <mergeCell ref="I18:K18"/>
    <mergeCell ref="B16:D16"/>
    <mergeCell ref="F16:H16"/>
    <mergeCell ref="I16:K16"/>
    <mergeCell ref="M16:N17"/>
    <mergeCell ref="O16:P17"/>
    <mergeCell ref="Q16:R17"/>
    <mergeCell ref="A14:K14"/>
    <mergeCell ref="B15:D15"/>
    <mergeCell ref="F15:H15"/>
    <mergeCell ref="I15:K15"/>
    <mergeCell ref="B12:E12"/>
    <mergeCell ref="F12:G13"/>
    <mergeCell ref="H12:I12"/>
    <mergeCell ref="J12:K12"/>
    <mergeCell ref="B13:C13"/>
    <mergeCell ref="H13:I13"/>
    <mergeCell ref="J13:K13"/>
    <mergeCell ref="A10:C10"/>
    <mergeCell ref="D10:E10"/>
    <mergeCell ref="F10:H10"/>
    <mergeCell ref="I10:K10"/>
    <mergeCell ref="A11:E11"/>
    <mergeCell ref="F11:G11"/>
    <mergeCell ref="H11:K11"/>
    <mergeCell ref="A6:E6"/>
    <mergeCell ref="F6:K6"/>
    <mergeCell ref="A7:E8"/>
    <mergeCell ref="F7:K7"/>
    <mergeCell ref="F8:K8"/>
    <mergeCell ref="A9:C9"/>
    <mergeCell ref="D9:E9"/>
    <mergeCell ref="F9:H9"/>
    <mergeCell ref="I9:K9"/>
    <mergeCell ref="A1:K1"/>
    <mergeCell ref="A2:K2"/>
    <mergeCell ref="A3:K3"/>
    <mergeCell ref="A4:K4"/>
    <mergeCell ref="A5:C5"/>
    <mergeCell ref="D5:E5"/>
    <mergeCell ref="F5:H5"/>
    <mergeCell ref="I5:K5"/>
    <mergeCell ref="M1:V2"/>
    <mergeCell ref="M3:V5"/>
  </mergeCells>
  <dataValidations count="1">
    <dataValidation allowBlank="1" showInputMessage="1" showErrorMessage="1" promptTitle="Keshav:" prompt="Employee Reference No. provided by the Employer (If available)." sqref="I10:K10" xr:uid="{DBE1229B-401D-45CC-A733-238581FCA257}"/>
  </dataValidations>
  <printOptions verticalCentered="1"/>
  <pageMargins left="0.25" right="0.25" top="0.75" bottom="0.75" header="0.3" footer="0.3"/>
  <pageSetup paperSize="9" fitToWidth="0" orientation="portrait" verticalDpi="0" r:id="rId1"/>
  <rowBreaks count="2" manualBreakCount="2">
    <brk id="69" max="16383" man="1"/>
    <brk id="109" max="1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4AC68-FBCE-4C51-876F-CE1EEC33CE18}">
  <sheetPr codeName="Sheet5">
    <tabColor rgb="FF7030A0"/>
  </sheetPr>
  <dimension ref="A1:AF46"/>
  <sheetViews>
    <sheetView workbookViewId="0">
      <selection activeCell="Q18" sqref="Q18"/>
    </sheetView>
  </sheetViews>
  <sheetFormatPr defaultRowHeight="15"/>
  <cols>
    <col min="1" max="1" width="6.7109375" style="3" customWidth="1"/>
    <col min="2" max="2" width="8.140625" style="3" customWidth="1"/>
    <col min="3" max="3" width="9.140625" style="3" customWidth="1"/>
    <col min="4" max="4" width="8.5703125" style="3" customWidth="1"/>
    <col min="5" max="5" width="7.42578125" style="3" customWidth="1"/>
    <col min="6" max="8" width="7.28515625" style="3" customWidth="1"/>
    <col min="9" max="9" width="9" style="3" bestFit="1" customWidth="1"/>
    <col min="10" max="10" width="5.85546875" style="3" customWidth="1"/>
    <col min="11" max="11" width="6.5703125" style="3" customWidth="1"/>
    <col min="12" max="12" width="5.85546875" style="3" customWidth="1"/>
    <col min="13" max="13" width="5.28515625" style="3" customWidth="1"/>
    <col min="14" max="14" width="6.7109375" style="3" customWidth="1"/>
    <col min="15" max="15" width="10" style="3" customWidth="1"/>
    <col min="16" max="21" width="9.140625" style="3"/>
    <col min="22" max="22" width="9.140625" style="3" customWidth="1"/>
    <col min="23" max="23" width="6.7109375" style="3" customWidth="1"/>
    <col min="24" max="29" width="9.140625" style="3" customWidth="1"/>
    <col min="30" max="30" width="4.140625" style="3" customWidth="1"/>
    <col min="31" max="31" width="9.140625" style="3" customWidth="1"/>
    <col min="32" max="16384" width="9.140625" style="3"/>
  </cols>
  <sheetData>
    <row r="1" spans="1:32" ht="20.100000000000001" customHeight="1" thickBot="1">
      <c r="B1" s="402" t="s">
        <v>26</v>
      </c>
      <c r="C1" s="404" t="s">
        <v>27</v>
      </c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786"/>
      <c r="O1" s="793" t="s">
        <v>150</v>
      </c>
      <c r="P1" s="795" t="s">
        <v>205</v>
      </c>
      <c r="Z1" s="661" t="s">
        <v>163</v>
      </c>
      <c r="AA1" s="661"/>
      <c r="AB1" s="661"/>
    </row>
    <row r="2" spans="1:32" ht="27" customHeight="1" thickBot="1">
      <c r="B2" s="403"/>
      <c r="C2" s="75" t="s">
        <v>32</v>
      </c>
      <c r="D2" s="75" t="s">
        <v>216</v>
      </c>
      <c r="E2" s="76" t="s">
        <v>33</v>
      </c>
      <c r="F2" s="77" t="s">
        <v>34</v>
      </c>
      <c r="G2" s="77" t="s">
        <v>34</v>
      </c>
      <c r="H2" s="78" t="s">
        <v>448</v>
      </c>
      <c r="I2" s="77" t="s">
        <v>64</v>
      </c>
      <c r="J2" s="77" t="s">
        <v>65</v>
      </c>
      <c r="K2" s="78" t="s">
        <v>152</v>
      </c>
      <c r="L2" s="100" t="s">
        <v>187</v>
      </c>
      <c r="M2" s="101" t="s">
        <v>42</v>
      </c>
      <c r="N2" s="101" t="s">
        <v>42</v>
      </c>
      <c r="O2" s="794"/>
      <c r="P2" s="795"/>
      <c r="Q2" s="787" t="s">
        <v>164</v>
      </c>
      <c r="R2" s="790" t="s">
        <v>146</v>
      </c>
      <c r="S2" s="788" t="s">
        <v>449</v>
      </c>
      <c r="T2" s="788" t="s">
        <v>449</v>
      </c>
      <c r="U2" s="784" t="s">
        <v>147</v>
      </c>
      <c r="V2" s="102" t="s">
        <v>148</v>
      </c>
      <c r="W2" s="74">
        <f>K16</f>
        <v>0</v>
      </c>
      <c r="X2" s="3" t="s">
        <v>44</v>
      </c>
      <c r="Y2" s="79" t="s">
        <v>44</v>
      </c>
      <c r="Z2" s="787" t="s">
        <v>166</v>
      </c>
      <c r="AA2" s="787" t="s">
        <v>167</v>
      </c>
      <c r="AB2" s="787" t="s">
        <v>168</v>
      </c>
      <c r="AE2" s="610" t="s">
        <v>201</v>
      </c>
      <c r="AF2" s="612"/>
    </row>
    <row r="3" spans="1:32" ht="20.100000000000001" customHeight="1" thickBot="1">
      <c r="A3" s="4"/>
      <c r="B3" s="80">
        <v>2</v>
      </c>
      <c r="C3" s="80">
        <v>3</v>
      </c>
      <c r="D3" s="80"/>
      <c r="E3" s="80">
        <v>4</v>
      </c>
      <c r="F3" s="80">
        <v>5</v>
      </c>
      <c r="G3" s="80"/>
      <c r="H3" s="80"/>
      <c r="I3" s="80">
        <v>6</v>
      </c>
      <c r="J3" s="80">
        <v>7</v>
      </c>
      <c r="K3" s="80">
        <v>8</v>
      </c>
      <c r="L3" s="80">
        <v>9</v>
      </c>
      <c r="M3" s="80">
        <v>10</v>
      </c>
      <c r="N3" s="81">
        <v>11</v>
      </c>
      <c r="O3" s="123">
        <f>IF(Profile!$C$19=220,0,IF(Profile!$C$19=700,350,IF(Profile!$C$19=1400,1050,IF(Profile!$C$19=2100,1750,0))))</f>
        <v>0</v>
      </c>
      <c r="P3" s="119">
        <f>IF(V20=1,U20,IF(V20=2,U21,0))</f>
        <v>250</v>
      </c>
      <c r="Q3" s="792"/>
      <c r="R3" s="791"/>
      <c r="S3" s="789"/>
      <c r="T3" s="789"/>
      <c r="U3" s="785"/>
      <c r="V3" s="103" t="s">
        <v>149</v>
      </c>
      <c r="X3" s="74" t="s">
        <v>151</v>
      </c>
      <c r="Y3" s="3">
        <f>IF(Profile!$C$15&gt;="GPF 2004",W2,IF(Profile!$C$15&gt;="GPF",$I$16,))</f>
        <v>0</v>
      </c>
      <c r="Z3" s="787"/>
      <c r="AA3" s="787"/>
      <c r="AB3" s="803"/>
      <c r="AC3" s="82" t="s">
        <v>201</v>
      </c>
      <c r="AD3" s="74">
        <v>1</v>
      </c>
      <c r="AE3" s="84" t="s">
        <v>166</v>
      </c>
      <c r="AF3" s="84" t="s">
        <v>167</v>
      </c>
    </row>
    <row r="4" spans="1:32" ht="20.100000000000001" customHeight="1" thickBot="1">
      <c r="A4" s="4">
        <v>3</v>
      </c>
      <c r="B4" s="83" t="s">
        <v>47</v>
      </c>
      <c r="C4" s="12">
        <f>Profile!C10</f>
        <v>39100</v>
      </c>
      <c r="D4" s="97">
        <f>IF(Profile!$S$7=1,R4,R4)</f>
        <v>39100</v>
      </c>
      <c r="E4" s="111">
        <f>ROUND(((D4)*50%),0)</f>
        <v>19550</v>
      </c>
      <c r="F4" s="12">
        <f>ROUND(((D4)*9%),0)</f>
        <v>3519</v>
      </c>
      <c r="G4" s="120">
        <f>IF(Profile!$S$7=1,F4,0)</f>
        <v>3519</v>
      </c>
      <c r="H4" s="12">
        <f>IF($C$4=0,0,IF($C$4&lt;23100,1450,IF($C$4&lt;2850,1625,IF($C$4&lt;38500,2100,IF($C$4&lt;51500,2850,IF($C$4&lt;62000,3575,IF($C$4&lt;72000,4200,IF($C$4&lt;80000,4800,IF($C$4&lt;116000,6150,IF($C$4&lt;167000,8900,IF($C$4&gt;167000,10500)))))))))))</f>
        <v>2850</v>
      </c>
      <c r="I4" s="12">
        <f>IF($C$4=0,0,IF($C$4&lt;23100,1450,IF($C$4&lt;2850,1625,IF($C$4&lt;38500,2100,IF($C$4&lt;51500,2850,IF($C$4&lt;62000,3575,IF($C$4&lt;72000,4200,IF($C$4&lt;80000,4800,IF($C$4&lt;116000,6150,IF($C$4&lt;167000,8900,IF($C$4&gt;167000,10500)))))))))))</f>
        <v>2850</v>
      </c>
      <c r="J4" s="111">
        <f t="shared" ref="J4:J16" si="0">IF(C4=0,0,IF(C4&lt;22000,800,IF(C4&lt;28500,1200,IF(C4&lt;46500,2200,IF(C4&lt;72000,3000,IF(C4&lt;72000,5000,IF(C4&gt;72000,7000)))))))</f>
        <v>2200</v>
      </c>
      <c r="K4" s="12">
        <f>Profile!A22</f>
        <v>0</v>
      </c>
      <c r="L4" s="12">
        <f>B17</f>
        <v>12000</v>
      </c>
      <c r="M4" s="12">
        <f>IF($C$4=0,0,IF($C$4&lt;18000,265,IF($C$4&lt;33500,440,IF($C$4&lt;54000,658,IF($C$4&gt;54000,875)))))</f>
        <v>658</v>
      </c>
      <c r="N4" s="111">
        <f>IF($C$4=0,0,IF($C$4&lt;18000,265,IF($C$4&lt;33500,440,IF($C$4&lt;54000,658,IF($C$4&gt;54000,875)))))</f>
        <v>658</v>
      </c>
      <c r="O4" s="120">
        <f>Profile!L20</f>
        <v>0</v>
      </c>
      <c r="P4" s="122"/>
      <c r="Q4" s="110">
        <v>3</v>
      </c>
      <c r="R4" s="85">
        <f>IF(Profile!$I$10=3,C4,C4)</f>
        <v>39100</v>
      </c>
      <c r="S4" s="59">
        <f>IF(Profile!$O$6="GPF",$I$4,$H$4)</f>
        <v>2850</v>
      </c>
      <c r="T4" s="97">
        <f>IF(Profile!$S$7=1,S4,0)</f>
        <v>2850</v>
      </c>
      <c r="U4" s="261">
        <f>6774/12*Profile!L11</f>
        <v>6774</v>
      </c>
      <c r="V4" s="103" t="s">
        <v>148</v>
      </c>
      <c r="Z4" s="63">
        <f>R4/30*15</f>
        <v>19550</v>
      </c>
      <c r="AA4" s="63">
        <f>Z4*50/100</f>
        <v>9775</v>
      </c>
      <c r="AB4" s="87">
        <f>SUM(Z4:AA4)</f>
        <v>29325</v>
      </c>
      <c r="AC4" s="86">
        <f>IF(Profile!$C$11=3,Z4,IF(Profile!$C$11=4,Z5,IF(Profile!$C$11=5,Z6,IF(Profile!$C$11=6,Z7,IF(Profile!$C$11=7,Z8,IF(Profile!$C$11=8,Z9,IF(Profile!$C$11=9,Z10,IF(Profile!$C$11=10,Z11,IF(Profile!$C$11=11,Z12,IF(Profile!$C$11=12,Z13,IF(Profile!$C$11=1,Z14,IF(Profile!$C$11=2,Z15,0))))))))))))</f>
        <v>20150</v>
      </c>
      <c r="AD4" s="74">
        <v>2</v>
      </c>
      <c r="AE4" s="99">
        <f>AC4</f>
        <v>20150</v>
      </c>
      <c r="AF4" s="86">
        <f>IF(Profile!$C$11=3,AA4,IF(Profile!$C$11=4,AA5,IF(Profile!$C$11=5,AA6,IF(Profile!$C$11=6,AA7,IF(Profile!$C$11=7,AA8,IF(Profile!$C$11=8,AA9,IF(Profile!$C$11=9,AA10,IF(Profile!$C$11=10,AA11,IF(Profile!$C$11=11,AA12,IF(Profile!$C$11=12,AA13,IF(Profile!$C$11=1,AA14,IF(Profile!$C$11=2,AA15,0))))))))))))</f>
        <v>10679.5</v>
      </c>
    </row>
    <row r="5" spans="1:32" ht="20.100000000000001" customHeight="1">
      <c r="A5" s="4">
        <v>4</v>
      </c>
      <c r="B5" s="83" t="s">
        <v>48</v>
      </c>
      <c r="C5" s="12">
        <f>C4</f>
        <v>39100</v>
      </c>
      <c r="D5" s="97">
        <f>IF(Profile!$S$7=1,R5,R5)</f>
        <v>39100</v>
      </c>
      <c r="E5" s="111">
        <f t="shared" ref="E5:E11" si="1">ROUND(((D5)*50%),0)</f>
        <v>19550</v>
      </c>
      <c r="F5" s="12">
        <f t="shared" ref="F5:F11" si="2">ROUND(((D5)*9%),0)</f>
        <v>3519</v>
      </c>
      <c r="G5" s="120">
        <f>IF(Profile!$S$7=1,F5,0)</f>
        <v>3519</v>
      </c>
      <c r="H5" s="12">
        <f t="shared" ref="H5:H15" si="3">IF($C$4=0,0,IF($C$4&lt;23100,1450,IF($C$4&lt;2850,1625,IF($C$4&lt;38500,2100,IF($C$4&lt;51500,2850,IF($C$4&lt;62000,3575,IF($C$4&lt;72000,4200,IF($C$4&lt;80000,4800,IF($C$4&lt;116000,6150,IF($C$4&lt;167000,8900,IF($C$4&gt;167000,10500)))))))))))</f>
        <v>2850</v>
      </c>
      <c r="I5" s="12">
        <f t="shared" ref="I5:I16" si="4">IF(C5=0,0,IF(C5&lt;23100,1450,IF(C5&lt;2850,1625,IF(C5&lt;38500,2100,IF(C5&lt;51500,2850,IF(C5&lt;62000,3575,IF(C5&lt;72000,4200,IF(C5&lt;80000,4800,IF(C5&lt;116000,6150,IF(C5&lt;167000,8900,IF(C5&gt;167000,10500)))))))))))</f>
        <v>2850</v>
      </c>
      <c r="J5" s="111">
        <f t="shared" si="0"/>
        <v>2200</v>
      </c>
      <c r="K5" s="12">
        <f>Profile!B22</f>
        <v>0</v>
      </c>
      <c r="L5" s="12">
        <f>C17</f>
        <v>12000</v>
      </c>
      <c r="M5" s="12">
        <f t="shared" ref="M5:M15" si="5">IF(C5=0,0,IF(C5&lt;18000,265,IF(C5&lt;33500,440,IF(C5&lt;54000,658,IF(C5&gt;54000,875)))))</f>
        <v>658</v>
      </c>
      <c r="N5" s="111">
        <f t="shared" ref="N5:N15" si="6">IF($C$4=0,0,IF($C$4&lt;18000,265,IF($C$4&lt;33500,440,IF($C$4&lt;54000,658,IF($C$4&gt;54000,875)))))</f>
        <v>658</v>
      </c>
      <c r="O5" s="120">
        <f>Profile!L16</f>
        <v>0</v>
      </c>
      <c r="Q5" s="84">
        <v>4</v>
      </c>
      <c r="R5" s="4">
        <f>IF(Profile!$I$10=4,Profile!L10,R4)</f>
        <v>39100</v>
      </c>
      <c r="S5" s="59">
        <f>IF(Profile!$O$6="GPF",$I$4,$H$5)</f>
        <v>2850</v>
      </c>
      <c r="T5" s="97">
        <f>IF(Profile!$S$7=1,S5,0)</f>
        <v>2850</v>
      </c>
      <c r="U5" s="263" t="s">
        <v>168</v>
      </c>
      <c r="V5" s="262">
        <f>IF(Profile!$G$11&gt;="YES",U4,IF(Profile!$G$11&lt;="NO",0))</f>
        <v>6774</v>
      </c>
      <c r="Z5" s="63">
        <f t="shared" ref="Z5:Z15" si="7">R5/30*15</f>
        <v>19550</v>
      </c>
      <c r="AA5" s="63">
        <f t="shared" ref="AA5:AA11" si="8">Z5*50/100</f>
        <v>9775</v>
      </c>
      <c r="AB5" s="63">
        <f t="shared" ref="AB5:AB15" si="9">SUM(Z5:AA5)</f>
        <v>29325</v>
      </c>
      <c r="AD5" s="74">
        <v>3</v>
      </c>
    </row>
    <row r="6" spans="1:32" ht="20.100000000000001" customHeight="1">
      <c r="A6" s="4">
        <v>5</v>
      </c>
      <c r="B6" s="83" t="s">
        <v>49</v>
      </c>
      <c r="C6" s="12">
        <f>C5</f>
        <v>39100</v>
      </c>
      <c r="D6" s="97">
        <f>IF(Profile!$S$7=1,R6,R6)</f>
        <v>39100</v>
      </c>
      <c r="E6" s="111">
        <f t="shared" si="1"/>
        <v>19550</v>
      </c>
      <c r="F6" s="12">
        <f t="shared" si="2"/>
        <v>3519</v>
      </c>
      <c r="G6" s="120">
        <f>IF(Profile!$S$7=1,F6,0)</f>
        <v>3519</v>
      </c>
      <c r="H6" s="12">
        <f t="shared" si="3"/>
        <v>2850</v>
      </c>
      <c r="I6" s="12">
        <f t="shared" si="4"/>
        <v>2850</v>
      </c>
      <c r="J6" s="111">
        <f t="shared" si="0"/>
        <v>2200</v>
      </c>
      <c r="K6" s="12">
        <f>Profile!C22</f>
        <v>0</v>
      </c>
      <c r="L6" s="12">
        <f>D17</f>
        <v>12000</v>
      </c>
      <c r="M6" s="12">
        <f t="shared" si="5"/>
        <v>658</v>
      </c>
      <c r="N6" s="111">
        <f t="shared" si="6"/>
        <v>658</v>
      </c>
      <c r="O6" s="120">
        <f>Profile!F20</f>
        <v>0</v>
      </c>
      <c r="Q6" s="84">
        <v>5</v>
      </c>
      <c r="R6" s="4">
        <f>IF(Profile!$I$10=5,Profile!L10,R5)</f>
        <v>39100</v>
      </c>
      <c r="S6" s="59">
        <f>IF(Profile!$O$6="GPF",$I$4,$H$6)</f>
        <v>2850</v>
      </c>
      <c r="T6" s="97">
        <f>IF(Profile!$S$7=1,S6,0)</f>
        <v>2850</v>
      </c>
      <c r="U6" s="810" t="s">
        <v>452</v>
      </c>
      <c r="V6" s="796">
        <f>ROUND(V5*25%,0)</f>
        <v>1694</v>
      </c>
      <c r="Z6" s="63">
        <f t="shared" si="7"/>
        <v>19550</v>
      </c>
      <c r="AA6" s="63">
        <f t="shared" si="8"/>
        <v>9775</v>
      </c>
      <c r="AB6" s="63">
        <f t="shared" si="9"/>
        <v>29325</v>
      </c>
      <c r="AD6" s="74">
        <v>4</v>
      </c>
    </row>
    <row r="7" spans="1:32" ht="20.100000000000001" customHeight="1">
      <c r="A7" s="4">
        <v>6</v>
      </c>
      <c r="B7" s="83" t="s">
        <v>50</v>
      </c>
      <c r="C7" s="12">
        <f>C6</f>
        <v>39100</v>
      </c>
      <c r="D7" s="97">
        <f>IF(Profile!$S$7=1,R7,R7)</f>
        <v>39100</v>
      </c>
      <c r="E7" s="111">
        <f t="shared" si="1"/>
        <v>19550</v>
      </c>
      <c r="F7" s="12">
        <f t="shared" si="2"/>
        <v>3519</v>
      </c>
      <c r="G7" s="120">
        <f>IF(Profile!$S$7=1,F7,0)</f>
        <v>3519</v>
      </c>
      <c r="H7" s="12">
        <f t="shared" si="3"/>
        <v>2850</v>
      </c>
      <c r="I7" s="12">
        <f t="shared" si="4"/>
        <v>2850</v>
      </c>
      <c r="J7" s="111">
        <f t="shared" si="0"/>
        <v>2200</v>
      </c>
      <c r="K7" s="12">
        <f>Profile!D22</f>
        <v>0</v>
      </c>
      <c r="L7" s="12">
        <f>E17</f>
        <v>12000</v>
      </c>
      <c r="M7" s="12">
        <f t="shared" si="5"/>
        <v>658</v>
      </c>
      <c r="N7" s="111">
        <f t="shared" si="6"/>
        <v>658</v>
      </c>
      <c r="O7" s="120">
        <f>Profile!L15</f>
        <v>0</v>
      </c>
      <c r="Q7" s="84">
        <v>6</v>
      </c>
      <c r="R7" s="4">
        <f>IF(Profile!$I$10=6,Profile!L10,R6)</f>
        <v>39100</v>
      </c>
      <c r="S7" s="59">
        <f>IF(Profile!$O$6="GPF",$I$4,$H$7)</f>
        <v>2850</v>
      </c>
      <c r="T7" s="97">
        <f>IF(Profile!$S$7=1,S7,0)</f>
        <v>2850</v>
      </c>
      <c r="U7" s="810"/>
      <c r="V7" s="796"/>
      <c r="Z7" s="63">
        <f t="shared" si="7"/>
        <v>19550</v>
      </c>
      <c r="AA7" s="63">
        <f t="shared" si="8"/>
        <v>9775</v>
      </c>
      <c r="AB7" s="63">
        <f t="shared" si="9"/>
        <v>29325</v>
      </c>
      <c r="AD7" s="74">
        <v>5</v>
      </c>
    </row>
    <row r="8" spans="1:32" ht="20.100000000000001" customHeight="1">
      <c r="A8" s="4">
        <v>7</v>
      </c>
      <c r="B8" s="83" t="s">
        <v>51</v>
      </c>
      <c r="C8" s="12">
        <f>IF(AND($C$7=""),"",MROUND($C$7*1.03,100))</f>
        <v>40300</v>
      </c>
      <c r="D8" s="97">
        <f>IF(Profile!$S$7=1,R8,R8)</f>
        <v>40300</v>
      </c>
      <c r="E8" s="111">
        <f t="shared" si="1"/>
        <v>20150</v>
      </c>
      <c r="F8" s="12">
        <f t="shared" si="2"/>
        <v>3627</v>
      </c>
      <c r="G8" s="120">
        <f>IF(Profile!$S$7=1,F8,0)</f>
        <v>3627</v>
      </c>
      <c r="H8" s="12">
        <f t="shared" si="3"/>
        <v>2850</v>
      </c>
      <c r="I8" s="12">
        <f t="shared" si="4"/>
        <v>2850</v>
      </c>
      <c r="J8" s="111">
        <f t="shared" si="0"/>
        <v>2200</v>
      </c>
      <c r="K8" s="12">
        <f>Profile!E22</f>
        <v>0</v>
      </c>
      <c r="L8" s="12">
        <f>F17</f>
        <v>12000</v>
      </c>
      <c r="M8" s="12">
        <f t="shared" si="5"/>
        <v>658</v>
      </c>
      <c r="N8" s="111">
        <f t="shared" si="6"/>
        <v>658</v>
      </c>
      <c r="O8" s="120">
        <f>Profile!I20</f>
        <v>0</v>
      </c>
      <c r="Q8" s="89" t="s">
        <v>165</v>
      </c>
      <c r="R8" s="4">
        <f>IF(AND(R7=""),"",MROUND(R7*1.03,100))</f>
        <v>40300</v>
      </c>
      <c r="S8" s="59">
        <f>IF(Profile!$O$6="GPF",$I$4,$H$8)</f>
        <v>2850</v>
      </c>
      <c r="T8" s="97">
        <f>IF(Profile!$S$7=1,S8,0)</f>
        <v>2850</v>
      </c>
      <c r="Z8" s="63">
        <f t="shared" si="7"/>
        <v>20150</v>
      </c>
      <c r="AA8" s="63">
        <f t="shared" si="8"/>
        <v>10075</v>
      </c>
      <c r="AB8" s="63">
        <f t="shared" si="9"/>
        <v>30225</v>
      </c>
      <c r="AD8" s="74">
        <v>6</v>
      </c>
    </row>
    <row r="9" spans="1:32" ht="20.100000000000001" customHeight="1">
      <c r="A9" s="4">
        <v>8</v>
      </c>
      <c r="B9" s="83" t="s">
        <v>52</v>
      </c>
      <c r="C9" s="12">
        <f t="shared" ref="C9:C15" si="10">IF(AND($C$7=""),"",MROUND($C$7*1.03,100))</f>
        <v>40300</v>
      </c>
      <c r="D9" s="97">
        <f>IF(Profile!$S$7=1,R9,R9)</f>
        <v>40300</v>
      </c>
      <c r="E9" s="111">
        <f t="shared" si="1"/>
        <v>20150</v>
      </c>
      <c r="F9" s="12">
        <f t="shared" si="2"/>
        <v>3627</v>
      </c>
      <c r="G9" s="120">
        <f>IF(Profile!$S$7=1,F9,0)</f>
        <v>3627</v>
      </c>
      <c r="H9" s="12">
        <f t="shared" si="3"/>
        <v>2850</v>
      </c>
      <c r="I9" s="12">
        <f t="shared" si="4"/>
        <v>2850</v>
      </c>
      <c r="J9" s="111">
        <f t="shared" si="0"/>
        <v>2200</v>
      </c>
      <c r="K9" s="12">
        <f>Profile!F22</f>
        <v>0</v>
      </c>
      <c r="L9" s="12">
        <f>G17</f>
        <v>12000</v>
      </c>
      <c r="M9" s="12">
        <f t="shared" si="5"/>
        <v>658</v>
      </c>
      <c r="N9" s="111">
        <f t="shared" si="6"/>
        <v>658</v>
      </c>
      <c r="O9" s="120">
        <f>Profile!F16</f>
        <v>0</v>
      </c>
      <c r="Q9" s="84">
        <v>8</v>
      </c>
      <c r="R9" s="4">
        <f>IF(Profile!$I$10=8,Profile!L10,R8)</f>
        <v>40300</v>
      </c>
      <c r="S9" s="59">
        <f>IF(Profile!$O$6="GPF",$I$4,$H$9)</f>
        <v>2850</v>
      </c>
      <c r="T9" s="97">
        <f>IF(Profile!$S$7=1,S9,0)</f>
        <v>2850</v>
      </c>
      <c r="Z9" s="63">
        <f t="shared" si="7"/>
        <v>20150</v>
      </c>
      <c r="AA9" s="63">
        <f t="shared" si="8"/>
        <v>10075</v>
      </c>
      <c r="AB9" s="63">
        <f t="shared" si="9"/>
        <v>30225</v>
      </c>
      <c r="AD9" s="74">
        <v>7</v>
      </c>
    </row>
    <row r="10" spans="1:32" ht="20.100000000000001" customHeight="1">
      <c r="A10" s="4">
        <v>9</v>
      </c>
      <c r="B10" s="83" t="s">
        <v>53</v>
      </c>
      <c r="C10" s="12">
        <f t="shared" si="10"/>
        <v>40300</v>
      </c>
      <c r="D10" s="97">
        <f>IF(Profile!$S$7=1,R10,R10)</f>
        <v>40300</v>
      </c>
      <c r="E10" s="111">
        <f t="shared" si="1"/>
        <v>20150</v>
      </c>
      <c r="F10" s="12">
        <f t="shared" si="2"/>
        <v>3627</v>
      </c>
      <c r="G10" s="120">
        <f>IF(Profile!$S$7=1,F10,0)</f>
        <v>3627</v>
      </c>
      <c r="H10" s="12">
        <f t="shared" si="3"/>
        <v>2850</v>
      </c>
      <c r="I10" s="12">
        <f t="shared" si="4"/>
        <v>2850</v>
      </c>
      <c r="J10" s="111">
        <f t="shared" si="0"/>
        <v>2200</v>
      </c>
      <c r="K10" s="12">
        <f>Profile!G22</f>
        <v>0</v>
      </c>
      <c r="L10" s="12">
        <f>H17</f>
        <v>12000</v>
      </c>
      <c r="M10" s="12">
        <f t="shared" si="5"/>
        <v>658</v>
      </c>
      <c r="N10" s="111">
        <f t="shared" si="6"/>
        <v>658</v>
      </c>
      <c r="O10" s="120">
        <f>Profile!L20</f>
        <v>0</v>
      </c>
      <c r="Q10" s="84">
        <v>9</v>
      </c>
      <c r="R10" s="4">
        <f>IF(Profile!$I$10=9,Profile!L10,R9)</f>
        <v>40300</v>
      </c>
      <c r="S10" s="59">
        <f>IF(Profile!$O$6="GPF",$I$4,$H$10)</f>
        <v>2850</v>
      </c>
      <c r="T10" s="97">
        <f>IF(Profile!$S$7=1,S10,0)</f>
        <v>2850</v>
      </c>
      <c r="Z10" s="63">
        <f t="shared" si="7"/>
        <v>20150</v>
      </c>
      <c r="AA10" s="63">
        <f t="shared" si="8"/>
        <v>10075</v>
      </c>
      <c r="AB10" s="63">
        <f t="shared" si="9"/>
        <v>30225</v>
      </c>
      <c r="AD10" s="74">
        <v>8</v>
      </c>
    </row>
    <row r="11" spans="1:32" ht="20.100000000000001" customHeight="1">
      <c r="A11" s="4">
        <v>10</v>
      </c>
      <c r="B11" s="83" t="s">
        <v>54</v>
      </c>
      <c r="C11" s="12">
        <f t="shared" si="10"/>
        <v>40300</v>
      </c>
      <c r="D11" s="97">
        <f>IF(Profile!$S$7=1,R11,R11)</f>
        <v>40300</v>
      </c>
      <c r="E11" s="111">
        <f t="shared" si="1"/>
        <v>20150</v>
      </c>
      <c r="F11" s="12">
        <f t="shared" si="2"/>
        <v>3627</v>
      </c>
      <c r="G11" s="120">
        <f>IF(Profile!$S$7=1,F11,0)</f>
        <v>3627</v>
      </c>
      <c r="H11" s="12">
        <f t="shared" si="3"/>
        <v>2850</v>
      </c>
      <c r="I11" s="12">
        <f t="shared" si="4"/>
        <v>2850</v>
      </c>
      <c r="J11" s="111">
        <f t="shared" si="0"/>
        <v>2200</v>
      </c>
      <c r="K11" s="12">
        <f>Profile!H22</f>
        <v>0</v>
      </c>
      <c r="L11" s="12">
        <f>I17</f>
        <v>12000</v>
      </c>
      <c r="M11" s="12">
        <f t="shared" si="5"/>
        <v>658</v>
      </c>
      <c r="N11" s="111">
        <f t="shared" si="6"/>
        <v>658</v>
      </c>
      <c r="Q11" s="84">
        <v>10</v>
      </c>
      <c r="R11" s="4">
        <f>IF(Profile!$I$10=10,Profile!L10,R10)</f>
        <v>40300</v>
      </c>
      <c r="S11" s="59">
        <f>IF(Profile!$O$6="GPF",$I$4,$H$11)</f>
        <v>2850</v>
      </c>
      <c r="T11" s="97">
        <f>IF(Profile!$S$7=1,S11,0)</f>
        <v>2850</v>
      </c>
      <c r="Z11" s="63">
        <f t="shared" si="7"/>
        <v>20150</v>
      </c>
      <c r="AA11" s="63">
        <f t="shared" si="8"/>
        <v>10075</v>
      </c>
      <c r="AB11" s="63">
        <f t="shared" si="9"/>
        <v>30225</v>
      </c>
      <c r="AD11" s="74">
        <v>9</v>
      </c>
    </row>
    <row r="12" spans="1:32" ht="20.100000000000001" customHeight="1">
      <c r="A12" s="4">
        <v>11</v>
      </c>
      <c r="B12" s="83" t="s">
        <v>55</v>
      </c>
      <c r="C12" s="12">
        <f t="shared" si="10"/>
        <v>40300</v>
      </c>
      <c r="D12" s="97">
        <f>IF(Profile!$S$7=1,R12,R12)</f>
        <v>40300</v>
      </c>
      <c r="E12" s="111">
        <f>ROUND(((D12)*53%),0)</f>
        <v>21359</v>
      </c>
      <c r="F12" s="12">
        <f>ROUND(((D12)*10%),0)</f>
        <v>4030</v>
      </c>
      <c r="G12" s="120">
        <f>IF(Profile!$S$7=1,F12,0)</f>
        <v>4030</v>
      </c>
      <c r="H12" s="12">
        <f t="shared" si="3"/>
        <v>2850</v>
      </c>
      <c r="I12" s="12">
        <f t="shared" si="4"/>
        <v>2850</v>
      </c>
      <c r="J12" s="111">
        <f t="shared" si="0"/>
        <v>2200</v>
      </c>
      <c r="K12" s="12">
        <f>Profile!I22</f>
        <v>0</v>
      </c>
      <c r="L12" s="12">
        <f>J17</f>
        <v>0</v>
      </c>
      <c r="M12" s="12">
        <f t="shared" si="5"/>
        <v>658</v>
      </c>
      <c r="N12" s="111">
        <f t="shared" si="6"/>
        <v>658</v>
      </c>
      <c r="Q12" s="84">
        <v>11</v>
      </c>
      <c r="R12" s="4">
        <f>IF(Profile!$I$10=11,Profile!L10,R11)</f>
        <v>40300</v>
      </c>
      <c r="S12" s="59">
        <f>IF(Profile!$O$6="GPF",$I$4,$H$12)</f>
        <v>2850</v>
      </c>
      <c r="T12" s="97">
        <f>IF(Profile!$S$7=1,S12,0)</f>
        <v>2850</v>
      </c>
      <c r="Z12" s="63">
        <f t="shared" si="7"/>
        <v>20150</v>
      </c>
      <c r="AA12" s="63">
        <f>Z12*53/100</f>
        <v>10679.5</v>
      </c>
      <c r="AB12" s="63">
        <f t="shared" si="9"/>
        <v>30829.5</v>
      </c>
      <c r="AD12" s="74">
        <v>10</v>
      </c>
    </row>
    <row r="13" spans="1:32" ht="20.100000000000001" customHeight="1">
      <c r="A13" s="4">
        <v>12</v>
      </c>
      <c r="B13" s="83" t="s">
        <v>56</v>
      </c>
      <c r="C13" s="12">
        <f t="shared" si="10"/>
        <v>40300</v>
      </c>
      <c r="D13" s="97">
        <f>IF(Profile!$S$7=1,R13,R13)</f>
        <v>40300</v>
      </c>
      <c r="E13" s="111">
        <f t="shared" ref="E13:E15" si="11">ROUND(((D13)*53%),0)</f>
        <v>21359</v>
      </c>
      <c r="F13" s="12">
        <f t="shared" ref="F13:F15" si="12">ROUND(((D13)*10%),0)</f>
        <v>4030</v>
      </c>
      <c r="G13" s="120">
        <f>IF(Profile!$S$7=1,F13,0)</f>
        <v>4030</v>
      </c>
      <c r="H13" s="12">
        <f t="shared" si="3"/>
        <v>2850</v>
      </c>
      <c r="I13" s="12">
        <f t="shared" si="4"/>
        <v>2850</v>
      </c>
      <c r="J13" s="111">
        <f t="shared" si="0"/>
        <v>2200</v>
      </c>
      <c r="K13" s="12">
        <f>Profile!J22</f>
        <v>0</v>
      </c>
      <c r="L13" s="12">
        <f>K17</f>
        <v>0</v>
      </c>
      <c r="M13" s="12">
        <f t="shared" si="5"/>
        <v>658</v>
      </c>
      <c r="N13" s="111">
        <f t="shared" si="6"/>
        <v>658</v>
      </c>
      <c r="Q13" s="84">
        <v>12</v>
      </c>
      <c r="R13" s="4">
        <f>IF(Profile!$I$10=12,Profile!L10,R12)</f>
        <v>40300</v>
      </c>
      <c r="S13" s="59">
        <f>IF(Profile!$O$6="GPF",$I$4,$H$13)</f>
        <v>2850</v>
      </c>
      <c r="T13" s="97">
        <f>IF(Profile!$S$7=1,S13,0)</f>
        <v>2850</v>
      </c>
      <c r="Z13" s="63">
        <f t="shared" si="7"/>
        <v>20150</v>
      </c>
      <c r="AA13" s="63">
        <f t="shared" ref="AA13:AA15" si="13">Z13*53/100</f>
        <v>10679.5</v>
      </c>
      <c r="AB13" s="63">
        <f t="shared" si="9"/>
        <v>30829.5</v>
      </c>
      <c r="AD13" s="74">
        <v>11</v>
      </c>
    </row>
    <row r="14" spans="1:32" ht="20.100000000000001" customHeight="1">
      <c r="A14" s="4">
        <v>1</v>
      </c>
      <c r="B14" s="83" t="s">
        <v>57</v>
      </c>
      <c r="C14" s="12">
        <f t="shared" si="10"/>
        <v>40300</v>
      </c>
      <c r="D14" s="97">
        <f>IF(Profile!$S$7=1,R14,R14)</f>
        <v>40300</v>
      </c>
      <c r="E14" s="111">
        <f t="shared" si="11"/>
        <v>21359</v>
      </c>
      <c r="F14" s="12">
        <f t="shared" si="12"/>
        <v>4030</v>
      </c>
      <c r="G14" s="120">
        <f>IF(Profile!$S$7=1,F14,0)</f>
        <v>4030</v>
      </c>
      <c r="H14" s="12">
        <f t="shared" si="3"/>
        <v>2850</v>
      </c>
      <c r="I14" s="12">
        <f t="shared" si="4"/>
        <v>2850</v>
      </c>
      <c r="J14" s="111">
        <f t="shared" si="0"/>
        <v>2200</v>
      </c>
      <c r="K14" s="12">
        <f>Profile!K22</f>
        <v>0</v>
      </c>
      <c r="L14" s="12">
        <f>L17</f>
        <v>0</v>
      </c>
      <c r="M14" s="12">
        <f t="shared" si="5"/>
        <v>658</v>
      </c>
      <c r="N14" s="111">
        <f t="shared" si="6"/>
        <v>658</v>
      </c>
      <c r="Q14" s="84">
        <v>1</v>
      </c>
      <c r="R14" s="4">
        <f>IF(Profile!$I$10=1,Profile!L10,R13)</f>
        <v>40300</v>
      </c>
      <c r="S14" s="59">
        <f>IF(Profile!$O$6="GPF",$I$4,$H$14)</f>
        <v>2850</v>
      </c>
      <c r="T14" s="97">
        <f>IF(Profile!$S$7=1,S14,0)</f>
        <v>2850</v>
      </c>
      <c r="Z14" s="63">
        <f t="shared" si="7"/>
        <v>20150</v>
      </c>
      <c r="AA14" s="63">
        <f t="shared" si="13"/>
        <v>10679.5</v>
      </c>
      <c r="AB14" s="63">
        <f t="shared" si="9"/>
        <v>30829.5</v>
      </c>
      <c r="AD14" s="74">
        <v>12</v>
      </c>
    </row>
    <row r="15" spans="1:32" ht="20.100000000000001" customHeight="1">
      <c r="A15" s="4">
        <v>2</v>
      </c>
      <c r="B15" s="83" t="s">
        <v>58</v>
      </c>
      <c r="C15" s="12">
        <f t="shared" si="10"/>
        <v>40300</v>
      </c>
      <c r="D15" s="97">
        <f>IF(Profile!$S$7=1,R15,R15)</f>
        <v>40300</v>
      </c>
      <c r="E15" s="111">
        <f t="shared" si="11"/>
        <v>21359</v>
      </c>
      <c r="F15" s="12">
        <f t="shared" si="12"/>
        <v>4030</v>
      </c>
      <c r="G15" s="120">
        <f>IF(Profile!$S$7=1,F15,0)</f>
        <v>4030</v>
      </c>
      <c r="H15" s="12">
        <f t="shared" si="3"/>
        <v>2850</v>
      </c>
      <c r="I15" s="12">
        <f t="shared" si="4"/>
        <v>2850</v>
      </c>
      <c r="J15" s="111">
        <f t="shared" si="0"/>
        <v>2200</v>
      </c>
      <c r="K15" s="12">
        <f>Profile!L22</f>
        <v>0</v>
      </c>
      <c r="L15" s="12">
        <f>M17</f>
        <v>0</v>
      </c>
      <c r="M15" s="12">
        <f t="shared" si="5"/>
        <v>658</v>
      </c>
      <c r="N15" s="111">
        <f t="shared" si="6"/>
        <v>658</v>
      </c>
      <c r="Q15" s="84">
        <v>2</v>
      </c>
      <c r="R15" s="4">
        <f>IF(Profile!$I$10=2,Profile!L10,R14)</f>
        <v>40300</v>
      </c>
      <c r="S15" s="59">
        <f>IF(Profile!$O$6="GPF",$I$4,$H$15)</f>
        <v>2850</v>
      </c>
      <c r="T15" s="97">
        <f>IF(Profile!$S$7=1,S15,0)</f>
        <v>2850</v>
      </c>
      <c r="Z15" s="63">
        <f t="shared" si="7"/>
        <v>20150</v>
      </c>
      <c r="AA15" s="63">
        <f t="shared" si="13"/>
        <v>10679.5</v>
      </c>
      <c r="AB15" s="63">
        <f t="shared" si="9"/>
        <v>30829.5</v>
      </c>
    </row>
    <row r="16" spans="1:32" ht="20.100000000000001" customHeight="1">
      <c r="A16" s="4"/>
      <c r="B16" s="83"/>
      <c r="C16" s="12">
        <f>SUM(C4:C15)</f>
        <v>478800</v>
      </c>
      <c r="D16" s="12"/>
      <c r="E16" s="12">
        <f t="shared" ref="E16" si="14">ROUND(((C16)*17%),0)</f>
        <v>81396</v>
      </c>
      <c r="F16" s="12">
        <f t="shared" ref="F16" si="15">ROUND(((C16)*8%),0)</f>
        <v>38304</v>
      </c>
      <c r="G16" s="12"/>
      <c r="H16" s="12">
        <f t="shared" ref="H16" si="16">ROUND(((C16+E16)*10%),0)</f>
        <v>56020</v>
      </c>
      <c r="I16" s="12">
        <f t="shared" si="4"/>
        <v>10500</v>
      </c>
      <c r="J16" s="12">
        <f t="shared" si="0"/>
        <v>7000</v>
      </c>
      <c r="K16" s="12">
        <f>SUM(K4:K15)</f>
        <v>0</v>
      </c>
      <c r="L16" s="12"/>
      <c r="M16" s="12"/>
      <c r="N16" s="12"/>
      <c r="P16" s="91"/>
      <c r="S16" s="90">
        <f>SUM(S4:S15)</f>
        <v>34200</v>
      </c>
      <c r="T16" s="117">
        <f>SUM(T4:T15)</f>
        <v>34200</v>
      </c>
      <c r="V16" s="88">
        <f>IF(Profile!$O$6&gt;="NPS",H16,IF(Profile!$O$6&lt;="GPF",0))</f>
        <v>0</v>
      </c>
      <c r="W16" s="88">
        <f>IF(Profile!$O$6&gt;="NPS",I16,IF(Profile!$O$6&lt;="GPF",0))</f>
        <v>0</v>
      </c>
    </row>
    <row r="17" spans="1:27" ht="20.100000000000001" customHeight="1">
      <c r="A17" s="12" t="s">
        <v>66</v>
      </c>
      <c r="B17" s="12">
        <f>Profile!A25</f>
        <v>12000</v>
      </c>
      <c r="C17" s="12">
        <f>Profile!B25</f>
        <v>12000</v>
      </c>
      <c r="D17" s="12">
        <f>Profile!C25</f>
        <v>12000</v>
      </c>
      <c r="E17" s="12">
        <f>Profile!D25</f>
        <v>12000</v>
      </c>
      <c r="F17" s="12">
        <f>Profile!E25</f>
        <v>12000</v>
      </c>
      <c r="G17" s="12">
        <f>Profile!F25</f>
        <v>12000</v>
      </c>
      <c r="H17" s="12">
        <f>Profile!G25</f>
        <v>12000</v>
      </c>
      <c r="I17" s="12">
        <f>Profile!H25</f>
        <v>12000</v>
      </c>
      <c r="J17" s="12">
        <f>Profile!I25</f>
        <v>0</v>
      </c>
      <c r="K17" s="12">
        <f>Profile!J25</f>
        <v>0</v>
      </c>
      <c r="L17" s="12">
        <f>Profile!K25</f>
        <v>0</v>
      </c>
      <c r="M17" s="12">
        <f>Profile!L25</f>
        <v>0</v>
      </c>
      <c r="N17" s="12"/>
      <c r="O17" s="12"/>
      <c r="V17" s="3">
        <f>V16*2</f>
        <v>0</v>
      </c>
    </row>
    <row r="18" spans="1:27">
      <c r="A18" s="661" t="s">
        <v>158</v>
      </c>
      <c r="B18" s="661"/>
      <c r="C18" s="12">
        <f>Salary!U22</f>
        <v>0</v>
      </c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</row>
    <row r="19" spans="1:27" ht="15.75" thickBot="1">
      <c r="A19" s="661" t="s">
        <v>158</v>
      </c>
      <c r="B19" s="661"/>
      <c r="C19" s="12">
        <f>Salary!U23</f>
        <v>0</v>
      </c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</row>
    <row r="20" spans="1:27" ht="15.75" thickBot="1">
      <c r="B20" s="92"/>
      <c r="C20" s="91"/>
      <c r="D20" s="91"/>
      <c r="E20" s="91"/>
      <c r="F20" s="91"/>
      <c r="G20" s="91"/>
      <c r="H20" s="93" t="s">
        <v>83</v>
      </c>
      <c r="I20" s="91">
        <f>Salary!Q25</f>
        <v>0</v>
      </c>
      <c r="J20" s="91">
        <f>Profile!F15</f>
        <v>44000</v>
      </c>
      <c r="K20" s="93">
        <f>SUM(I20:J20)</f>
        <v>44000</v>
      </c>
      <c r="L20" s="91"/>
      <c r="M20" s="91"/>
      <c r="N20" s="91"/>
      <c r="R20" s="802" t="s">
        <v>206</v>
      </c>
      <c r="S20" s="802"/>
      <c r="T20" s="109"/>
      <c r="U20" s="3">
        <v>500</v>
      </c>
      <c r="V20" s="3">
        <v>2</v>
      </c>
    </row>
    <row r="21" spans="1:27" ht="15.75" thickBot="1">
      <c r="B21" s="94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R21" s="802" t="s">
        <v>207</v>
      </c>
      <c r="S21" s="802"/>
      <c r="T21" s="109"/>
      <c r="U21" s="3">
        <v>250</v>
      </c>
    </row>
    <row r="22" spans="1:27" ht="16.5" thickBot="1">
      <c r="A22" s="798" t="s">
        <v>189</v>
      </c>
      <c r="B22" s="799"/>
      <c r="C22" s="800"/>
      <c r="D22" s="112"/>
      <c r="E22" s="91"/>
      <c r="F22" s="91"/>
      <c r="G22" s="91"/>
      <c r="H22" s="797" t="s">
        <v>219</v>
      </c>
      <c r="I22" s="797"/>
      <c r="J22" s="93">
        <f>ROUND(((C8)*0%),0)</f>
        <v>0</v>
      </c>
      <c r="K22" s="91"/>
      <c r="L22" s="797" t="s">
        <v>358</v>
      </c>
      <c r="M22" s="797"/>
      <c r="N22" s="91">
        <f>ROUND(((D4)*4%),0)*2</f>
        <v>3128</v>
      </c>
      <c r="O22" s="806" t="s">
        <v>484</v>
      </c>
      <c r="P22" s="807"/>
    </row>
    <row r="23" spans="1:27" ht="33" customHeight="1" thickBot="1">
      <c r="A23" s="53" t="s">
        <v>190</v>
      </c>
      <c r="B23" s="95">
        <f>R4</f>
        <v>39100</v>
      </c>
      <c r="C23" s="54"/>
      <c r="D23" s="113"/>
      <c r="E23" s="91"/>
      <c r="F23" s="91"/>
      <c r="G23" s="91"/>
      <c r="H23" s="91"/>
      <c r="I23" s="91"/>
      <c r="J23" s="91"/>
      <c r="K23" s="91"/>
      <c r="L23" s="797" t="s">
        <v>358</v>
      </c>
      <c r="M23" s="797"/>
      <c r="N23" s="91">
        <f>(E12-E11)*4</f>
        <v>4836</v>
      </c>
      <c r="O23" s="808" t="s">
        <v>488</v>
      </c>
      <c r="P23" s="809"/>
    </row>
    <row r="24" spans="1:27" ht="19.5" thickBot="1">
      <c r="A24" s="53" t="s">
        <v>167</v>
      </c>
      <c r="B24" s="95">
        <v>17</v>
      </c>
      <c r="C24" s="55"/>
      <c r="D24" s="113"/>
      <c r="E24" s="96"/>
      <c r="F24" s="96"/>
      <c r="G24" s="96"/>
      <c r="H24" s="3">
        <f>B23</f>
        <v>39100</v>
      </c>
      <c r="I24" s="3">
        <f>H24*4</f>
        <v>156400</v>
      </c>
      <c r="J24" s="96"/>
      <c r="K24" s="96"/>
      <c r="L24" s="96"/>
      <c r="M24" s="801" t="s">
        <v>191</v>
      </c>
      <c r="N24" s="801"/>
      <c r="Q24" s="3">
        <v>1</v>
      </c>
      <c r="W24" s="105">
        <v>2</v>
      </c>
      <c r="X24" s="804" t="s">
        <v>210</v>
      </c>
      <c r="Y24" s="804"/>
      <c r="Z24" s="804"/>
      <c r="AA24" s="805"/>
    </row>
    <row r="25" spans="1:27">
      <c r="A25" s="56" t="s">
        <v>174</v>
      </c>
      <c r="B25" s="57">
        <f>I30</f>
        <v>598500</v>
      </c>
      <c r="C25" s="4"/>
      <c r="H25" s="3">
        <f>IF(AND(H24=""),"",MROUND(H24*1.03,100))</f>
        <v>40300</v>
      </c>
      <c r="I25" s="3">
        <f>H25*8</f>
        <v>322400</v>
      </c>
      <c r="M25" s="802" t="s">
        <v>194</v>
      </c>
      <c r="N25" s="802"/>
      <c r="Q25" s="3">
        <v>2</v>
      </c>
      <c r="X25" s="778" t="s">
        <v>211</v>
      </c>
      <c r="Y25" s="779"/>
      <c r="Z25" s="779"/>
      <c r="AA25" s="780"/>
    </row>
    <row r="26" spans="1:27">
      <c r="A26" s="58" t="s">
        <v>191</v>
      </c>
      <c r="B26" s="59">
        <v>50000</v>
      </c>
      <c r="C26" s="4"/>
      <c r="I26" s="3">
        <f>SUM(I24:I25)</f>
        <v>478800</v>
      </c>
      <c r="X26" s="778" t="s">
        <v>212</v>
      </c>
      <c r="Y26" s="779"/>
      <c r="Z26" s="779"/>
      <c r="AA26" s="780"/>
    </row>
    <row r="27" spans="1:27" ht="15.75" thickBot="1">
      <c r="A27" s="58" t="s">
        <v>192</v>
      </c>
      <c r="B27" s="97">
        <v>0</v>
      </c>
      <c r="C27" s="4"/>
      <c r="H27" s="3" t="s">
        <v>34</v>
      </c>
      <c r="I27" s="3">
        <f>ROUND(I26*0.08,0)</f>
        <v>38304</v>
      </c>
      <c r="X27" s="781" t="s">
        <v>213</v>
      </c>
      <c r="Y27" s="782"/>
      <c r="Z27" s="782"/>
      <c r="AA27" s="783"/>
    </row>
    <row r="28" spans="1:27">
      <c r="A28" s="58" t="s">
        <v>175</v>
      </c>
      <c r="B28" s="97">
        <v>150000</v>
      </c>
      <c r="C28" s="4"/>
      <c r="H28" s="3" t="s">
        <v>167</v>
      </c>
      <c r="I28" s="3">
        <f>I26*B24</f>
        <v>8139600</v>
      </c>
    </row>
    <row r="29" spans="1:27">
      <c r="A29" s="58" t="s">
        <v>193</v>
      </c>
      <c r="B29" s="97">
        <v>57500</v>
      </c>
      <c r="C29" s="4"/>
      <c r="I29" s="3">
        <f>I28/100</f>
        <v>81396</v>
      </c>
    </row>
    <row r="30" spans="1:27" ht="15.75" thickBot="1">
      <c r="A30" s="4"/>
      <c r="B30" s="4"/>
      <c r="C30" s="4"/>
      <c r="I30" s="3">
        <f>I26+I27+I29</f>
        <v>598500</v>
      </c>
    </row>
    <row r="31" spans="1:27" ht="21.75" thickBot="1">
      <c r="A31" s="4" t="s">
        <v>171</v>
      </c>
      <c r="B31" s="60" t="s">
        <v>172</v>
      </c>
      <c r="C31" s="61" t="s">
        <v>173</v>
      </c>
      <c r="D31" s="114"/>
      <c r="S31" s="98">
        <v>1</v>
      </c>
      <c r="T31" s="118">
        <v>2</v>
      </c>
    </row>
    <row r="32" spans="1:27">
      <c r="A32" s="4" t="s">
        <v>174</v>
      </c>
      <c r="B32" s="4">
        <f>B25-B26-B27</f>
        <v>548500</v>
      </c>
      <c r="C32" s="4">
        <f>B25</f>
        <v>598500</v>
      </c>
    </row>
    <row r="33" spans="1:4">
      <c r="A33" s="4" t="s">
        <v>175</v>
      </c>
      <c r="B33" s="4">
        <f>B28</f>
        <v>150000</v>
      </c>
      <c r="C33" s="4">
        <f>C28</f>
        <v>0</v>
      </c>
    </row>
    <row r="34" spans="1:4">
      <c r="A34" s="4" t="s">
        <v>176</v>
      </c>
      <c r="B34" s="4">
        <f>B32-B33</f>
        <v>398500</v>
      </c>
      <c r="C34" s="4">
        <f>C32-C33</f>
        <v>598500</v>
      </c>
    </row>
    <row r="35" spans="1:4">
      <c r="A35" s="4" t="s">
        <v>177</v>
      </c>
      <c r="B35" s="4">
        <f>IF($B$34&lt;=250000,0,IF($B$34&gt;250000,(250000)*0.05,0))</f>
        <v>12500</v>
      </c>
      <c r="C35" s="4">
        <f>IF($C$34&lt;=250000,0,IF($C$34&gt;250000,(250000)*0.05,0))</f>
        <v>12500</v>
      </c>
    </row>
    <row r="36" spans="1:4">
      <c r="A36" s="4" t="s">
        <v>178</v>
      </c>
      <c r="B36" s="62">
        <v>0</v>
      </c>
      <c r="C36" s="4">
        <f>IF($C$34&lt;=500000,0,IF($C$34&gt;500000,(250000)*0.1,0))</f>
        <v>25000</v>
      </c>
    </row>
    <row r="37" spans="1:4">
      <c r="A37" s="4" t="s">
        <v>179</v>
      </c>
      <c r="B37" s="62">
        <v>0</v>
      </c>
      <c r="C37" s="4">
        <f>IF($C$34&lt;=750000,0,IF($C$34&gt;750000,(250000)*0.15,0))</f>
        <v>0</v>
      </c>
    </row>
    <row r="38" spans="1:4">
      <c r="A38" s="4" t="s">
        <v>180</v>
      </c>
      <c r="B38" s="63">
        <f>IF($B$34&lt;=500000,0,IF($B$34&gt;500000,(B34-500000)*0.2,0))</f>
        <v>0</v>
      </c>
      <c r="C38" s="4">
        <f>IF($C$34&lt;=1000000,0,IF($C$34&gt;1000000,(250000)*0.2,0))</f>
        <v>0</v>
      </c>
    </row>
    <row r="39" spans="1:4">
      <c r="A39" s="4" t="s">
        <v>181</v>
      </c>
      <c r="B39" s="62">
        <v>0</v>
      </c>
      <c r="C39" s="4">
        <f>IF($C$34&lt;=1250000,0,IF($C$34&gt;1250000,(250000)*0.25,0))</f>
        <v>0</v>
      </c>
    </row>
    <row r="40" spans="1:4">
      <c r="A40" s="4" t="s">
        <v>182</v>
      </c>
      <c r="B40" s="4">
        <f>IF($B$34&lt;=1000000,0,IF($B$34&gt;1000000,(B34-1000000)*0.3,0))</f>
        <v>0</v>
      </c>
      <c r="C40" s="4">
        <f>IF($C$34&lt;=1500000,0,IF($C$34&gt;1500000,(C34-1500000)*0.3,0))</f>
        <v>0</v>
      </c>
    </row>
    <row r="41" spans="1:4">
      <c r="A41" s="4" t="s">
        <v>183</v>
      </c>
      <c r="B41" s="64">
        <f>IF(B34&lt;=500000,12500,0)</f>
        <v>12500</v>
      </c>
      <c r="C41" s="65">
        <f>IF(C34&lt;=500000,12500,0)</f>
        <v>0</v>
      </c>
      <c r="D41" s="115"/>
    </row>
    <row r="42" spans="1:4">
      <c r="A42" s="4" t="s">
        <v>184</v>
      </c>
      <c r="B42" s="4"/>
      <c r="C42" s="4"/>
    </row>
    <row r="43" spans="1:4">
      <c r="A43" s="4" t="s">
        <v>185</v>
      </c>
      <c r="B43" s="4"/>
      <c r="C43" s="4"/>
    </row>
    <row r="44" spans="1:4">
      <c r="A44" s="4" t="s">
        <v>186</v>
      </c>
      <c r="B44" s="63">
        <f>(B35+B38+B40)*0.04</f>
        <v>500</v>
      </c>
      <c r="C44" s="63">
        <f>(C35+C36+C37+C38+C39+C40)*0.04</f>
        <v>1500</v>
      </c>
      <c r="D44" s="116"/>
    </row>
    <row r="45" spans="1:4">
      <c r="A45" s="4" t="s">
        <v>187</v>
      </c>
      <c r="B45" s="63">
        <f>B35+B38+B40+B44</f>
        <v>13000</v>
      </c>
      <c r="C45" s="63">
        <f>C35+C36+C37+C38+C39+C40+C44</f>
        <v>39000</v>
      </c>
      <c r="D45" s="116"/>
    </row>
    <row r="46" spans="1:4">
      <c r="A46" s="4" t="s">
        <v>188</v>
      </c>
      <c r="B46" s="63">
        <f>B29-B45</f>
        <v>44500</v>
      </c>
      <c r="C46" s="63">
        <f>C29-C45</f>
        <v>-39000</v>
      </c>
      <c r="D46" s="116"/>
    </row>
  </sheetData>
  <mergeCells count="32">
    <mergeCell ref="L22:M22"/>
    <mergeCell ref="AE2:AF2"/>
    <mergeCell ref="A22:C22"/>
    <mergeCell ref="M24:N24"/>
    <mergeCell ref="M25:N25"/>
    <mergeCell ref="AB2:AB3"/>
    <mergeCell ref="R20:S20"/>
    <mergeCell ref="R21:S21"/>
    <mergeCell ref="X24:AA24"/>
    <mergeCell ref="X25:AA25"/>
    <mergeCell ref="T2:T3"/>
    <mergeCell ref="H22:I22"/>
    <mergeCell ref="O22:P22"/>
    <mergeCell ref="L23:M23"/>
    <mergeCell ref="O23:P23"/>
    <mergeCell ref="U6:U7"/>
    <mergeCell ref="X26:AA26"/>
    <mergeCell ref="X27:AA27"/>
    <mergeCell ref="Z1:AB1"/>
    <mergeCell ref="U2:U3"/>
    <mergeCell ref="A19:B19"/>
    <mergeCell ref="B1:B2"/>
    <mergeCell ref="C1:N1"/>
    <mergeCell ref="Z2:Z3"/>
    <mergeCell ref="AA2:AA3"/>
    <mergeCell ref="S2:S3"/>
    <mergeCell ref="R2:R3"/>
    <mergeCell ref="Q2:Q3"/>
    <mergeCell ref="O1:O2"/>
    <mergeCell ref="A18:B18"/>
    <mergeCell ref="P1:P2"/>
    <mergeCell ref="V6:V7"/>
  </mergeCells>
  <dataValidations count="3">
    <dataValidation type="list" allowBlank="1" showInputMessage="1" showErrorMessage="1" sqref="V4" xr:uid="{664EB430-2FD0-4EC5-9F6A-D56377ACADE9}">
      <formula1>$V$2:$V$3</formula1>
    </dataValidation>
    <dataValidation type="list" allowBlank="1" showInputMessage="1" showErrorMessage="1" sqref="Y2" xr:uid="{05A85EDC-8839-4E39-A512-F0FEEDA51B86}">
      <formula1>$X$2:$X$3</formula1>
    </dataValidation>
    <dataValidation type="list" allowBlank="1" showInputMessage="1" showErrorMessage="1" sqref="S31:T31" xr:uid="{1CBDFAB8-9377-4BA6-BF82-CE70F0FF5AD6}">
      <formula1>$Q$24:$Q$25</formula1>
    </dataValidation>
  </dataValidation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Q l m c U t n l O k 2 j A A A A 9 Q A A A B I A H A B D b 2 5 m a W c v U G F j a 2 F n Z S 5 4 b W w g o h g A K K A U A A A A A A A A A A A A A A A A A A A A A A A A A A A A h Y + x D o I w F E V / h X S n L X V R 8 i i D k 4 k Y E x P j 2 p Q K j f A w t A j / 5 u A n + Q t i F H V z v O e e 4 d 7 7 9 Q b p U F f B x b T O N p i Q i H I S G N R N b r F I S O e P 4 Z y k E r Z K n 1 R h g l F G F w 8 u T 0 j p / T l m r O 9 7 2 s 9 o 0 x Z M c B 6 x Q 7 b e 6 d L U i n x k + 1 8 O L T q v U B s i Y f 8 a I w V d R F R w Q T m w i U F m 8 d u L c e 6 z / Y G w 7 C r f t U Y a D F c b Y F M E 9 r 4 g H 1 B L A w Q U A A I A C A B C W Z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l m c U i i K R 7 g O A A A A E Q A A A B M A H A B G b 3 J t d W x h c y 9 T Z W N 0 a W 9 u M S 5 t I K I Y A C i g F A A A A A A A A A A A A A A A A A A A A A A A A A A A A C t O T S 7 J z M 9 T C I b Q h t Y A U E s B A i 0 A F A A C A A g A Q l m c U t n l O k 2 j A A A A 9 Q A A A B I A A A A A A A A A A A A A A A A A A A A A A E N v b m Z p Z y 9 Q Y W N r Y W d l L n h t b F B L A Q I t A B Q A A g A I A E J Z n F I P y u m r p A A A A O k A A A A T A A A A A A A A A A A A A A A A A O 8 A A A B b Q 2 9 u d G V u d F 9 U e X B l c 1 0 u e G 1 s U E s B A i 0 A F A A C A A g A Q l m c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I X f j 8 s G s R F i O o k d X C E 6 l A A A A A A A g A A A A A A E G Y A A A A B A A A g A A A A l O X q I N 8 X V C L O j 3 B o f y f Q o N Z 0 8 h G g r 4 b I A N P D X f h 6 L S 8 A A A A A D o A A A A A C A A A g A A A A i Z u 4 4 P 7 2 i l y c K D / p 1 S h V c i b E U K w p w F V W Q Q r K e B z X 3 2 B Q A A A A 9 7 U 7 z 4 I m 3 F Q i G k U E M 0 G Q L Y t G b P c A H w O l y d k v t 4 W m u k D M f n k 0 v X U N w J 7 M L o B V M c k q 8 e 4 U U 6 H Q r F T A D j 0 3 J w 8 a K b z 4 6 3 R L V 2 L B P n 5 k a D n A m s B A A A A A 8 i C 5 A 6 r b J s X p 1 C t l N L q R r O L f P x W h a 4 d N X r u 4 6 3 e y j C Z t Q 4 2 c B 4 / B 5 C d z x E W k E d e c J e 8 L / R 7 l E J I A S U A a 7 5 + S h g = = < / D a t a M a s h u p > 
</file>

<file path=customXml/itemProps1.xml><?xml version="1.0" encoding="utf-8"?>
<ds:datastoreItem xmlns:ds="http://schemas.openxmlformats.org/officeDocument/2006/customXml" ds:itemID="{D46C3670-06F4-4B86-8701-54DDC2DC62A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Profile</vt:lpstr>
      <vt:lpstr>Salary</vt:lpstr>
      <vt:lpstr>IT calculation</vt:lpstr>
      <vt:lpstr>us(89)1 Form</vt:lpstr>
      <vt:lpstr>form10E</vt:lpstr>
      <vt:lpstr>control10E</vt:lpstr>
      <vt:lpstr>Form 16</vt:lpstr>
      <vt:lpstr>control</vt:lpstr>
      <vt:lpstr>NPS</vt:lpstr>
      <vt:lpstr>'Form 16'!Print_Area</vt:lpstr>
      <vt:lpstr>form10E!Print_Area</vt:lpstr>
      <vt:lpstr>'IT calculation'!Print_Area</vt:lpstr>
      <vt:lpstr>Salary!Print_Area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Kailash Chandra sharma</dc:creator>
  <cp:lastModifiedBy>hp</cp:lastModifiedBy>
  <cp:lastPrinted>2022-11-28T13:14:13Z</cp:lastPrinted>
  <dcterms:created xsi:type="dcterms:W3CDTF">2021-04-27T06:54:11Z</dcterms:created>
  <dcterms:modified xsi:type="dcterms:W3CDTF">2024-11-02T07:18:17Z</dcterms:modified>
</cp:coreProperties>
</file>